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Finance/2024 BC/E_R 2024/"/>
    </mc:Choice>
  </mc:AlternateContent>
  <xr:revisionPtr revIDLastSave="0" documentId="8_{5DBAE85F-9D7F-4290-AD79-99134B1AB516}" xr6:coauthVersionLast="47" xr6:coauthVersionMax="47" xr10:uidLastSave="{00000000-0000-0000-0000-000000000000}"/>
  <workbookProtection workbookAlgorithmName="SHA-512" workbookHashValue="5rUmOVn+R6EAF/vpMVPj4g5cCLtYp2rZWg1KGjgyPFJtAMKvTLsZdVFX09medfwmstBkzZFHry/Emu4njIyBBg==" workbookSaltValue="/9yYjAiefsbAc8coZBnVwQ==" workbookSpinCount="100000" lockStructure="1"/>
  <bookViews>
    <workbookView xWindow="-120" yWindow="-16320" windowWidth="29040" windowHeight="15840" xr2:uid="{F2066DC8-690C-4B4A-BB32-42D15D43E4E9}"/>
  </bookViews>
  <sheets>
    <sheet name="Calculator" sheetId="2" r:id="rId1"/>
    <sheet name="Data" sheetId="1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2"/>
  <c r="D21" i="2"/>
  <c r="N12" i="1" l="1"/>
  <c r="M12" i="1"/>
  <c r="E14" i="2"/>
  <c r="E18" i="2" s="1"/>
  <c r="E21" i="2" s="1"/>
  <c r="D5" i="1"/>
  <c r="C3" i="1"/>
  <c r="E11" i="2"/>
  <c r="L12" i="1"/>
  <c r="L21" i="1" s="1"/>
  <c r="J21" i="1"/>
  <c r="K21" i="1"/>
  <c r="I21" i="1"/>
  <c r="M23" i="1"/>
  <c r="M22" i="1"/>
  <c r="L22" i="1"/>
  <c r="N22" i="1" s="1"/>
  <c r="E20" i="2" l="1"/>
  <c r="L23" i="1"/>
  <c r="N23" i="1" s="1"/>
  <c r="C6" i="1"/>
  <c r="C9" i="1" s="1"/>
  <c r="C11" i="1" s="1"/>
  <c r="C4" i="1"/>
  <c r="E15" i="2"/>
  <c r="E16" i="2"/>
  <c r="E17" i="2"/>
  <c r="E19" i="2" s="1"/>
  <c r="M13" i="1"/>
  <c r="H22" i="1"/>
  <c r="H23" i="1"/>
  <c r="N13" i="1"/>
  <c r="N14" i="1"/>
  <c r="M14" i="1"/>
  <c r="N15" i="1"/>
  <c r="M15" i="1"/>
  <c r="M16" i="1"/>
  <c r="N16" i="1"/>
  <c r="M17" i="1"/>
  <c r="N17" i="1"/>
  <c r="N18" i="1"/>
  <c r="M18" i="1"/>
  <c r="N19" i="1"/>
  <c r="M19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K12" i="1"/>
  <c r="K22" i="1" s="1"/>
  <c r="J12" i="1"/>
  <c r="J22" i="1" s="1"/>
  <c r="I13" i="1"/>
  <c r="I14" i="1"/>
  <c r="I15" i="1"/>
  <c r="I16" i="1"/>
  <c r="I17" i="1"/>
  <c r="I18" i="1"/>
  <c r="I19" i="1"/>
  <c r="I12" i="1"/>
  <c r="I22" i="1" s="1"/>
  <c r="E22" i="2" l="1"/>
  <c r="O14" i="1"/>
  <c r="C7" i="1"/>
  <c r="C8" i="1"/>
  <c r="C10" i="1"/>
  <c r="I23" i="1"/>
  <c r="O19" i="1"/>
  <c r="O16" i="1"/>
  <c r="O15" i="1"/>
  <c r="J23" i="1"/>
  <c r="K23" i="1"/>
  <c r="O12" i="1"/>
  <c r="O18" i="1"/>
  <c r="O17" i="1"/>
  <c r="O13" i="1"/>
  <c r="C12" i="1" l="1"/>
  <c r="C13" i="1"/>
  <c r="C14" i="1" l="1"/>
</calcChain>
</file>

<file path=xl/sharedStrings.xml><?xml version="1.0" encoding="utf-8"?>
<sst xmlns="http://schemas.openxmlformats.org/spreadsheetml/2006/main" count="42" uniqueCount="29">
  <si>
    <t>Catalogue Incentive Incremental and Credit Calculator</t>
  </si>
  <si>
    <t>Only type in the yellow cells</t>
  </si>
  <si>
    <t xml:space="preserve">Date Range of Incentive </t>
  </si>
  <si>
    <t>Planned Catalogue Mail</t>
  </si>
  <si>
    <t>2nd September 2024 to 1st February 2025</t>
  </si>
  <si>
    <t>Minimum Incremental Catalogue Mail Required</t>
  </si>
  <si>
    <t>Incremental Catalogue Mail*</t>
  </si>
  <si>
    <t>% above plan</t>
  </si>
  <si>
    <t xml:space="preserve">Discount - Planned </t>
  </si>
  <si>
    <t>Discount -  Incremental</t>
  </si>
  <si>
    <t>Planned Credit rate</t>
  </si>
  <si>
    <t>Incremental Credit rate</t>
  </si>
  <si>
    <t>Planned Credit</t>
  </si>
  <si>
    <t>Incremental Credit*</t>
  </si>
  <si>
    <t>Discretionary Support*</t>
  </si>
  <si>
    <t>Total Credit**</t>
  </si>
  <si>
    <t>* Individual applications are capped at 2m incremental items. Incremental volume above 2m items may be supported and will be confirmed by Royal Mail if the application is accepted ** Credit is indicative only and based on Access Economy Catalogue Mailmark Letters</t>
  </si>
  <si>
    <t>Incremental % above plan</t>
  </si>
  <si>
    <t>Discount - Planned vol</t>
  </si>
  <si>
    <t>Discount-  Incremental vol</t>
  </si>
  <si>
    <t>credit per item plan</t>
  </si>
  <si>
    <t>credit per item Incremental</t>
  </si>
  <si>
    <t>Incremental</t>
  </si>
  <si>
    <t xml:space="preserve">Plan </t>
  </si>
  <si>
    <t>Credit Plan</t>
  </si>
  <si>
    <t>Credit Inc</t>
  </si>
  <si>
    <t>Total</t>
  </si>
  <si>
    <t>Total Credit</t>
  </si>
  <si>
    <t>* Incremental Volume Credits capped at 2m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</si>
</sst>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;[Red]\-&quot;£&quot;#,##0.0000"/>
    <numFmt numFmtId="165" formatCode="_-* #,##0_-;\-* #,##0_-;_-* &quot;-&quot;??_-;_-@_-"/>
    <numFmt numFmtId="166" formatCode="&quot;£&quot;#,##0"/>
    <numFmt numFmtId="167" formatCode="_-[$£-809]* #,##0.00000_-;\-[$£-809]* #,##0.00000_-;_-[$£-809]* &quot;-&quot;??_-;_-@_-"/>
    <numFmt numFmtId="168" formatCode="_-* #,##0.0_-;\-* #,##0.0_-;_-* &quot;-&quot;?_-;_-@_-"/>
    <numFmt numFmtId="169" formatCode="_-&quot;£&quot;* #,##0_-;\-&quot;£&quot;* #,##0_-;_-&quot;£&quot;* &quot;-&quot;??_-;_-@_-"/>
    <numFmt numFmtId="170" formatCode="_-[$£-809]* #,##0.0000_-;\-[$£-809]* #,##0.0000_-;_-[$£-8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2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left" wrapText="1" readingOrder="1"/>
    </xf>
    <xf numFmtId="10" fontId="0" fillId="0" borderId="0" xfId="0" applyNumberFormat="1"/>
    <xf numFmtId="10" fontId="2" fillId="3" borderId="1" xfId="0" applyNumberFormat="1" applyFont="1" applyFill="1" applyBorder="1" applyAlignment="1">
      <alignment horizontal="center" wrapText="1" readingOrder="1"/>
    </xf>
    <xf numFmtId="10" fontId="2" fillId="0" borderId="1" xfId="0" applyNumberFormat="1" applyFont="1" applyBorder="1" applyAlignment="1">
      <alignment horizontal="center" wrapText="1" readingOrder="1"/>
    </xf>
    <xf numFmtId="164" fontId="2" fillId="0" borderId="1" xfId="0" applyNumberFormat="1" applyFont="1" applyBorder="1" applyAlignment="1">
      <alignment horizontal="center" wrapText="1" readingOrder="1"/>
    </xf>
    <xf numFmtId="164" fontId="2" fillId="3" borderId="1" xfId="0" applyNumberFormat="1" applyFont="1" applyFill="1" applyBorder="1" applyAlignment="1">
      <alignment horizontal="center" wrapText="1" readingOrder="1"/>
    </xf>
    <xf numFmtId="9" fontId="0" fillId="0" borderId="0" xfId="2" applyFont="1"/>
    <xf numFmtId="166" fontId="0" fillId="0" borderId="0" xfId="0" applyNumberFormat="1"/>
    <xf numFmtId="165" fontId="0" fillId="0" borderId="0" xfId="0" applyNumberFormat="1"/>
    <xf numFmtId="10" fontId="2" fillId="0" borderId="0" xfId="0" applyNumberFormat="1" applyFont="1" applyAlignment="1">
      <alignment horizontal="center" wrapText="1" readingOrder="1"/>
    </xf>
    <xf numFmtId="164" fontId="2" fillId="0" borderId="0" xfId="0" applyNumberFormat="1" applyFont="1" applyAlignment="1">
      <alignment horizontal="center" wrapText="1" readingOrder="1"/>
    </xf>
    <xf numFmtId="0" fontId="0" fillId="0" borderId="0" xfId="0" applyAlignment="1">
      <alignment wrapText="1"/>
    </xf>
    <xf numFmtId="165" fontId="0" fillId="5" borderId="2" xfId="1" applyNumberFormat="1" applyFont="1" applyFill="1" applyBorder="1"/>
    <xf numFmtId="10" fontId="2" fillId="3" borderId="2" xfId="0" applyNumberFormat="1" applyFont="1" applyFill="1" applyBorder="1" applyAlignment="1">
      <alignment horizontal="center" wrapText="1" readingOrder="1"/>
    </xf>
    <xf numFmtId="166" fontId="0" fillId="0" borderId="2" xfId="0" applyNumberFormat="1" applyBorder="1"/>
    <xf numFmtId="165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4" borderId="2" xfId="2" applyNumberFormat="1" applyFon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66" fontId="0" fillId="5" borderId="2" xfId="0" applyNumberFormat="1" applyFill="1" applyBorder="1"/>
    <xf numFmtId="10" fontId="2" fillId="3" borderId="3" xfId="0" applyNumberFormat="1" applyFont="1" applyFill="1" applyBorder="1" applyAlignment="1">
      <alignment horizontal="center" wrapText="1" readingOrder="1"/>
    </xf>
    <xf numFmtId="10" fontId="0" fillId="0" borderId="3" xfId="0" applyNumberFormat="1" applyBorder="1" applyAlignment="1">
      <alignment horizontal="center"/>
    </xf>
    <xf numFmtId="166" fontId="0" fillId="5" borderId="4" xfId="0" applyNumberFormat="1" applyFill="1" applyBorder="1"/>
    <xf numFmtId="166" fontId="0" fillId="0" borderId="4" xfId="0" applyNumberFormat="1" applyBorder="1"/>
    <xf numFmtId="10" fontId="4" fillId="3" borderId="5" xfId="0" applyNumberFormat="1" applyFont="1" applyFill="1" applyBorder="1" applyAlignment="1">
      <alignment horizontal="center" wrapText="1" readingOrder="1"/>
    </xf>
    <xf numFmtId="10" fontId="3" fillId="0" borderId="5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0" fillId="6" borderId="2" xfId="0" applyFill="1" applyBorder="1"/>
    <xf numFmtId="165" fontId="0" fillId="6" borderId="2" xfId="1" applyNumberFormat="1" applyFont="1" applyFill="1" applyBorder="1" applyAlignment="1">
      <alignment horizontal="center" vertical="center"/>
    </xf>
    <xf numFmtId="165" fontId="0" fillId="6" borderId="3" xfId="1" applyNumberFormat="1" applyFont="1" applyFill="1" applyBorder="1" applyAlignment="1">
      <alignment horizontal="center" vertical="center"/>
    </xf>
    <xf numFmtId="0" fontId="0" fillId="6" borderId="4" xfId="0" applyFill="1" applyBorder="1"/>
    <xf numFmtId="165" fontId="3" fillId="6" borderId="7" xfId="1" applyNumberFormat="1" applyFont="1" applyFill="1" applyBorder="1" applyAlignment="1">
      <alignment vertical="center"/>
    </xf>
    <xf numFmtId="0" fontId="0" fillId="0" borderId="2" xfId="0" applyBorder="1"/>
    <xf numFmtId="10" fontId="0" fillId="0" borderId="2" xfId="2" applyNumberFormat="1" applyFont="1" applyBorder="1"/>
    <xf numFmtId="168" fontId="0" fillId="0" borderId="0" xfId="0" applyNumberFormat="1"/>
    <xf numFmtId="165" fontId="0" fillId="0" borderId="2" xfId="0" applyNumberFormat="1" applyBorder="1"/>
    <xf numFmtId="0" fontId="5" fillId="0" borderId="2" xfId="0" applyFont="1" applyBorder="1" applyAlignment="1">
      <alignment vertical="top"/>
    </xf>
    <xf numFmtId="0" fontId="7" fillId="0" borderId="11" xfId="0" applyFont="1" applyBorder="1"/>
    <xf numFmtId="0" fontId="0" fillId="0" borderId="12" xfId="0" applyBorder="1"/>
    <xf numFmtId="0" fontId="0" fillId="0" borderId="11" xfId="0" applyBorder="1"/>
    <xf numFmtId="0" fontId="3" fillId="0" borderId="0" xfId="0" applyFont="1"/>
    <xf numFmtId="0" fontId="3" fillId="8" borderId="11" xfId="0" applyFont="1" applyFill="1" applyBorder="1" applyAlignment="1">
      <alignment horizontal="right"/>
    </xf>
    <xf numFmtId="0" fontId="0" fillId="8" borderId="0" xfId="0" applyFill="1"/>
    <xf numFmtId="10" fontId="0" fillId="0" borderId="0" xfId="2" applyNumberFormat="1" applyFont="1" applyBorder="1" applyProtection="1"/>
    <xf numFmtId="0" fontId="6" fillId="0" borderId="0" xfId="0" applyFont="1"/>
    <xf numFmtId="167" fontId="0" fillId="0" borderId="0" xfId="3" applyNumberFormat="1" applyFont="1" applyBorder="1" applyProtection="1"/>
    <xf numFmtId="0" fontId="3" fillId="0" borderId="11" xfId="0" applyFont="1" applyBorder="1"/>
    <xf numFmtId="0" fontId="10" fillId="0" borderId="0" xfId="0" applyFont="1"/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3" fillId="0" borderId="12" xfId="0" applyFont="1" applyBorder="1"/>
    <xf numFmtId="165" fontId="0" fillId="7" borderId="2" xfId="1" applyNumberFormat="1" applyFont="1" applyFill="1" applyBorder="1" applyProtection="1"/>
    <xf numFmtId="165" fontId="1" fillId="7" borderId="16" xfId="1" applyNumberFormat="1" applyFont="1" applyFill="1" applyBorder="1" applyProtection="1">
      <protection locked="0"/>
    </xf>
    <xf numFmtId="165" fontId="0" fillId="7" borderId="16" xfId="1" applyNumberFormat="1" applyFont="1" applyFill="1" applyBorder="1" applyProtection="1">
      <protection locked="0"/>
    </xf>
    <xf numFmtId="169" fontId="0" fillId="0" borderId="0" xfId="3" applyNumberFormat="1" applyFont="1" applyBorder="1" applyProtection="1"/>
    <xf numFmtId="169" fontId="3" fillId="0" borderId="0" xfId="3" applyNumberFormat="1" applyFont="1" applyBorder="1" applyProtection="1"/>
    <xf numFmtId="0" fontId="9" fillId="0" borderId="15" xfId="0" applyFont="1" applyBorder="1" applyAlignment="1">
      <alignment vertical="top" wrapText="1"/>
    </xf>
    <xf numFmtId="0" fontId="0" fillId="9" borderId="11" xfId="0" applyFill="1" applyBorder="1"/>
    <xf numFmtId="0" fontId="6" fillId="9" borderId="0" xfId="0" applyFont="1" applyFill="1"/>
    <xf numFmtId="165" fontId="11" fillId="9" borderId="0" xfId="0" applyNumberFormat="1" applyFont="1" applyFill="1"/>
    <xf numFmtId="169" fontId="0" fillId="9" borderId="0" xfId="3" applyNumberFormat="1" applyFont="1" applyFill="1" applyBorder="1" applyProtection="1"/>
    <xf numFmtId="0" fontId="0" fillId="0" borderId="17" xfId="0" applyBorder="1"/>
    <xf numFmtId="169" fontId="0" fillId="0" borderId="0" xfId="3" applyNumberFormat="1" applyFont="1"/>
    <xf numFmtId="169" fontId="0" fillId="0" borderId="2" xfId="3" applyNumberFormat="1" applyFont="1" applyBorder="1"/>
    <xf numFmtId="170" fontId="0" fillId="0" borderId="2" xfId="3" applyNumberFormat="1" applyFont="1" applyBorder="1"/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8" fillId="7" borderId="1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">
    <dxf>
      <font>
        <b/>
        <i val="0"/>
      </font>
      <numFmt numFmtId="0" formatCode="General"/>
      <fill>
        <patternFill>
          <bgColor rgb="FF92D050"/>
        </patternFill>
      </fill>
    </dxf>
    <dxf>
      <font>
        <b/>
        <i val="0"/>
      </font>
      <numFmt numFmtId="0" formatCode="General"/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E1C6.257379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135890</xdr:rowOff>
    </xdr:to>
    <xdr:sp macro="" textlink="">
      <xdr:nvSpPr>
        <xdr:cNvPr id="2" name="AutoShape 1" descr="Royal Mail | World Branding Awards">
          <a:extLst>
            <a:ext uri="{FF2B5EF4-FFF2-40B4-BE49-F238E27FC236}">
              <a16:creationId xmlns:a16="http://schemas.microsoft.com/office/drawing/2014/main" id="{E4FECC5D-4EA7-4912-88DF-B2F5D781E946}"/>
            </a:ext>
          </a:extLst>
        </xdr:cNvPr>
        <xdr:cNvSpPr>
          <a:spLocks noChangeAspect="1" noChangeArrowheads="1"/>
        </xdr:cNvSpPr>
      </xdr:nvSpPr>
      <xdr:spPr bwMode="auto">
        <a:xfrm>
          <a:off x="4962525" y="12382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122555</xdr:rowOff>
    </xdr:to>
    <xdr:sp macro="" textlink="">
      <xdr:nvSpPr>
        <xdr:cNvPr id="4" name="AutoShape 1" descr="Royal Mail | World Branding Awards">
          <a:extLst>
            <a:ext uri="{FF2B5EF4-FFF2-40B4-BE49-F238E27FC236}">
              <a16:creationId xmlns:a16="http://schemas.microsoft.com/office/drawing/2014/main" id="{30093ACD-74BA-4CB3-9983-456B7276C342}"/>
            </a:ext>
          </a:extLst>
        </xdr:cNvPr>
        <xdr:cNvSpPr>
          <a:spLocks noChangeAspect="1" noChangeArrowheads="1"/>
        </xdr:cNvSpPr>
      </xdr:nvSpPr>
      <xdr:spPr bwMode="auto">
        <a:xfrm>
          <a:off x="4962525" y="12382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381000</xdr:colOff>
      <xdr:row>3</xdr:row>
      <xdr:rowOff>123825</xdr:rowOff>
    </xdr:from>
    <xdr:to>
      <xdr:col>4</xdr:col>
      <xdr:colOff>2053443</xdr:colOff>
      <xdr:row>7</xdr:row>
      <xdr:rowOff>123825</xdr:rowOff>
    </xdr:to>
    <xdr:pic>
      <xdr:nvPicPr>
        <xdr:cNvPr id="5" name="Picture 5" descr="My image...">
          <a:extLst>
            <a:ext uri="{FF2B5EF4-FFF2-40B4-BE49-F238E27FC236}">
              <a16:creationId xmlns:a16="http://schemas.microsoft.com/office/drawing/2014/main" id="{65660CFF-3315-2F50-7DAC-975120B35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2" t="9091" r="53893" b="59253"/>
        <a:stretch>
          <a:fillRect/>
        </a:stretch>
      </xdr:blipFill>
      <xdr:spPr bwMode="auto">
        <a:xfrm>
          <a:off x="6410325" y="1362075"/>
          <a:ext cx="1672443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1834-0662-40FB-BD2E-E7C32BF60567}">
  <dimension ref="B1:J24"/>
  <sheetViews>
    <sheetView showGridLines="0" tabSelected="1" workbookViewId="0">
      <selection activeCell="D29" sqref="D29"/>
    </sheetView>
  </sheetViews>
  <sheetFormatPr defaultRowHeight="14.4" x14ac:dyDescent="0.3"/>
  <cols>
    <col min="1" max="1" width="3.109375" customWidth="1"/>
    <col min="2" max="2" width="44" bestFit="1" customWidth="1"/>
    <col min="3" max="3" width="4.5546875" customWidth="1"/>
    <col min="4" max="4" width="38.6640625" bestFit="1" customWidth="1"/>
    <col min="5" max="5" width="34.44140625" customWidth="1"/>
    <col min="6" max="6" width="6.33203125" customWidth="1"/>
  </cols>
  <sheetData>
    <row r="1" spans="2:10" ht="15" thickBot="1" x14ac:dyDescent="0.35"/>
    <row r="2" spans="2:10" ht="57.9" customHeight="1" x14ac:dyDescent="0.3">
      <c r="B2" s="75" t="s">
        <v>0</v>
      </c>
      <c r="C2" s="76"/>
      <c r="D2" s="76"/>
      <c r="E2" s="76"/>
      <c r="F2" s="77"/>
    </row>
    <row r="3" spans="2:10" ht="24" customHeight="1" x14ac:dyDescent="0.3">
      <c r="B3" s="39"/>
      <c r="F3" s="40"/>
    </row>
    <row r="4" spans="2:10" ht="31.2" x14ac:dyDescent="0.6">
      <c r="B4" s="70" t="s">
        <v>1</v>
      </c>
      <c r="C4" s="71"/>
      <c r="D4" s="71"/>
      <c r="F4" s="40"/>
    </row>
    <row r="5" spans="2:10" x14ac:dyDescent="0.3">
      <c r="B5" s="41"/>
      <c r="D5" s="42"/>
      <c r="F5" s="40"/>
    </row>
    <row r="6" spans="2:10" x14ac:dyDescent="0.3">
      <c r="B6" s="41"/>
      <c r="F6" s="40"/>
    </row>
    <row r="7" spans="2:10" ht="14.25" customHeight="1" x14ac:dyDescent="0.3">
      <c r="B7" s="41"/>
      <c r="F7" s="40"/>
    </row>
    <row r="8" spans="2:10" x14ac:dyDescent="0.3">
      <c r="B8" s="41"/>
      <c r="F8" s="40"/>
    </row>
    <row r="9" spans="2:10" ht="15" thickBot="1" x14ac:dyDescent="0.35">
      <c r="B9" s="41"/>
      <c r="D9" s="42" t="s">
        <v>2</v>
      </c>
      <c r="F9" s="40"/>
    </row>
    <row r="10" spans="2:10" ht="15" thickBot="1" x14ac:dyDescent="0.35">
      <c r="B10" s="41" t="s">
        <v>3</v>
      </c>
      <c r="D10" t="s">
        <v>4</v>
      </c>
      <c r="E10" s="55"/>
      <c r="F10" s="40"/>
      <c r="J10" s="68"/>
    </row>
    <row r="11" spans="2:10" ht="15" thickBot="1" x14ac:dyDescent="0.35">
      <c r="B11" s="41" t="s">
        <v>5</v>
      </c>
      <c r="D11" t="s">
        <v>4</v>
      </c>
      <c r="E11" s="9">
        <f>IF(E10*2.5%&lt;100000,100000,E10*2.5%)</f>
        <v>100000</v>
      </c>
      <c r="F11" s="40"/>
      <c r="J11" s="69"/>
    </row>
    <row r="12" spans="2:10" ht="14.25" customHeight="1" thickBot="1" x14ac:dyDescent="0.35">
      <c r="B12" s="41" t="s">
        <v>6</v>
      </c>
      <c r="D12" t="s">
        <v>4</v>
      </c>
      <c r="E12" s="56"/>
      <c r="F12" s="40"/>
    </row>
    <row r="13" spans="2:10" x14ac:dyDescent="0.3">
      <c r="B13" s="43"/>
      <c r="C13" s="44"/>
      <c r="D13" s="44"/>
      <c r="E13" s="44" t="str">
        <f>IF(E12&gt;2000000,"Credit above 2m items is discretionary","")</f>
        <v/>
      </c>
      <c r="F13" s="40"/>
    </row>
    <row r="14" spans="2:10" x14ac:dyDescent="0.3">
      <c r="B14" s="41" t="s">
        <v>7</v>
      </c>
      <c r="E14" s="45" t="str">
        <f>IFERROR(IF(E12&lt;100000,"No Credit Due",E12/E10),"")</f>
        <v>No Credit Due</v>
      </c>
      <c r="F14" s="40"/>
    </row>
    <row r="15" spans="2:10" x14ac:dyDescent="0.3">
      <c r="B15" s="41" t="s">
        <v>8</v>
      </c>
      <c r="E15" s="45" t="str">
        <f>IFERROR(VLOOKUP(E14,Data!I3:M8,2,TRUE),"")</f>
        <v/>
      </c>
      <c r="F15" s="40"/>
    </row>
    <row r="16" spans="2:10" x14ac:dyDescent="0.3">
      <c r="B16" s="41" t="s">
        <v>9</v>
      </c>
      <c r="C16" s="46"/>
      <c r="D16" s="46"/>
      <c r="E16" s="45" t="str">
        <f>IFERROR(VLOOKUP(E14,Data!I3:M8,3,TRUE),"")</f>
        <v/>
      </c>
      <c r="F16" s="40"/>
    </row>
    <row r="17" spans="2:6" hidden="1" x14ac:dyDescent="0.3">
      <c r="B17" s="41" t="s">
        <v>10</v>
      </c>
      <c r="C17" s="46"/>
      <c r="D17" s="46"/>
      <c r="E17" s="47" t="str">
        <f>IFERROR(VLOOKUP(E14,Data!I3:M8,4,TRUE),"")</f>
        <v/>
      </c>
      <c r="F17" s="40"/>
    </row>
    <row r="18" spans="2:6" hidden="1" x14ac:dyDescent="0.3">
      <c r="B18" s="41" t="s">
        <v>11</v>
      </c>
      <c r="C18" s="46"/>
      <c r="D18" s="46"/>
      <c r="E18" s="47" t="str">
        <f>IFERROR(VLOOKUP(E14,Data!I3:M8,5,TRUE),"")</f>
        <v/>
      </c>
      <c r="F18" s="40"/>
    </row>
    <row r="19" spans="2:6" x14ac:dyDescent="0.3">
      <c r="B19" s="41" t="s">
        <v>12</v>
      </c>
      <c r="C19" s="46"/>
      <c r="D19" s="46"/>
      <c r="E19" s="57" t="str">
        <f>IFERROR(E10*E17,"")</f>
        <v/>
      </c>
      <c r="F19" s="40"/>
    </row>
    <row r="20" spans="2:6" x14ac:dyDescent="0.3">
      <c r="B20" s="41" t="s">
        <v>13</v>
      </c>
      <c r="C20" s="46"/>
      <c r="D20" s="46"/>
      <c r="E20" s="57" t="str">
        <f>IFERROR(IF(E12&gt;2000000,2000000*E18,E12*E18),"")</f>
        <v/>
      </c>
      <c r="F20" s="40"/>
    </row>
    <row r="21" spans="2:6" x14ac:dyDescent="0.3">
      <c r="B21" s="60" t="s">
        <v>14</v>
      </c>
      <c r="C21" s="61"/>
      <c r="D21" s="62" t="str">
        <f>IF(SUM(E12-2000000)&lt;=0,"",E12-2000000)</f>
        <v/>
      </c>
      <c r="E21" s="63">
        <f>IFERROR(D21*E18,0)</f>
        <v>0</v>
      </c>
      <c r="F21" s="40"/>
    </row>
    <row r="22" spans="2:6" x14ac:dyDescent="0.3">
      <c r="B22" s="48" t="s">
        <v>15</v>
      </c>
      <c r="C22" s="49"/>
      <c r="D22" s="49"/>
      <c r="E22" s="58" t="str">
        <f>IFERROR(E19+E20+E21,"")</f>
        <v/>
      </c>
      <c r="F22" s="40"/>
    </row>
    <row r="23" spans="2:6" x14ac:dyDescent="0.3">
      <c r="B23" s="50"/>
      <c r="C23" s="51"/>
      <c r="D23" s="42"/>
      <c r="E23" s="52"/>
      <c r="F23" s="53"/>
    </row>
    <row r="24" spans="2:6" ht="24" customHeight="1" thickBot="1" x14ac:dyDescent="0.35">
      <c r="B24" s="72" t="s">
        <v>16</v>
      </c>
      <c r="C24" s="73"/>
      <c r="D24" s="73"/>
      <c r="E24" s="73"/>
      <c r="F24" s="59"/>
    </row>
  </sheetData>
  <sheetProtection algorithmName="SHA-512" hashValue="znxBVEOMgH3TeSWgBUsndIyc2CVthFU17I69xb2Jg9LZXAD6t/Z85l/u0NOvfAoObUFxEP5aNgoADEJRJXwCOQ==" saltValue="oLz7AjVoycLByl61QwDrXQ==" spinCount="100000" sheet="1" objects="1" scenarios="1"/>
  <mergeCells count="3">
    <mergeCell ref="B2:F2"/>
    <mergeCell ref="B4:D4"/>
    <mergeCell ref="B24:E24"/>
  </mergeCells>
  <conditionalFormatting sqref="E13">
    <cfRule type="containsText" dxfId="1" priority="1" operator="containsText" text="Credit above 2m items is discretionary">
      <formula>NOT(ISERROR(SEARCH("Credit above 2m items is discretionary",E13)))</formula>
    </cfRule>
  </conditionalFormatting>
  <dataValidations count="1">
    <dataValidation type="whole" allowBlank="1" showInputMessage="1" showErrorMessage="1" errorTitle="Incremental Volume" error="The incremental volume entered is below the Minimum Incremental figure allowed based on your planned volume." sqref="E12" xr:uid="{E5ADB0F2-6477-4BAE-A26E-28AD070AE265}">
      <formula1>E11</formula1>
      <formula2>100000000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E616-8592-4A32-8E67-BA141D24115C}">
  <dimension ref="B2:R23"/>
  <sheetViews>
    <sheetView workbookViewId="0">
      <selection activeCell="C6" sqref="C6"/>
    </sheetView>
  </sheetViews>
  <sheetFormatPr defaultRowHeight="14.4" x14ac:dyDescent="0.3"/>
  <cols>
    <col min="1" max="1" width="9.88671875" customWidth="1"/>
    <col min="2" max="2" width="43.33203125" bestFit="1" customWidth="1"/>
    <col min="3" max="3" width="15.88671875" customWidth="1"/>
    <col min="4" max="4" width="33.44140625" bestFit="1" customWidth="1"/>
    <col min="5" max="5" width="10.5546875" bestFit="1" customWidth="1"/>
    <col min="7" max="7" width="13.88671875" bestFit="1" customWidth="1"/>
    <col min="8" max="8" width="12.6640625" bestFit="1" customWidth="1"/>
    <col min="9" max="9" width="13.109375" customWidth="1"/>
    <col min="10" max="12" width="11.33203125" bestFit="1" customWidth="1"/>
    <col min="13" max="13" width="11.6640625" customWidth="1"/>
    <col min="14" max="15" width="10" bestFit="1" customWidth="1"/>
    <col min="17" max="17" width="11.6640625" customWidth="1"/>
  </cols>
  <sheetData>
    <row r="2" spans="2:18" ht="43.2" x14ac:dyDescent="0.3"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2:18" x14ac:dyDescent="0.3">
      <c r="B3" s="34" t="s">
        <v>3</v>
      </c>
      <c r="C3" s="54">
        <f>Calculator!E10</f>
        <v>0</v>
      </c>
      <c r="E3" s="36"/>
      <c r="I3" s="3">
        <v>2.5000000000000001E-2</v>
      </c>
      <c r="J3" s="3">
        <v>2.5000000000000001E-3</v>
      </c>
      <c r="K3" s="3">
        <v>0.1</v>
      </c>
      <c r="L3" s="6">
        <v>5.0000000000000001E-4</v>
      </c>
      <c r="M3" s="6">
        <v>1.9900000000000001E-2</v>
      </c>
    </row>
    <row r="4" spans="2:18" x14ac:dyDescent="0.3">
      <c r="B4" s="34" t="s">
        <v>5</v>
      </c>
      <c r="C4" s="37">
        <f>IF(C3*2.5%&lt;100000,100000,C3*2.5%)</f>
        <v>100000</v>
      </c>
      <c r="I4" s="4">
        <v>0.05</v>
      </c>
      <c r="J4" s="4">
        <v>5.0000000000000001E-3</v>
      </c>
      <c r="K4" s="4">
        <v>0.125</v>
      </c>
      <c r="L4" s="5">
        <v>1E-3</v>
      </c>
      <c r="M4" s="5">
        <v>2.4899999999999999E-2</v>
      </c>
    </row>
    <row r="5" spans="2:18" x14ac:dyDescent="0.3">
      <c r="B5" s="34" t="s">
        <v>6</v>
      </c>
      <c r="C5" s="54">
        <v>1900000</v>
      </c>
      <c r="D5" t="str">
        <f>IF(C5&gt;2000000,"Credit will be paid on 2m items only","")</f>
        <v/>
      </c>
      <c r="I5" s="3">
        <v>7.4999999999999997E-2</v>
      </c>
      <c r="J5" s="3">
        <v>7.4999999999999997E-3</v>
      </c>
      <c r="K5" s="3">
        <v>0.15</v>
      </c>
      <c r="L5" s="6">
        <v>1.5E-3</v>
      </c>
      <c r="M5" s="6">
        <v>2.98E-2</v>
      </c>
    </row>
    <row r="6" spans="2:18" x14ac:dyDescent="0.3">
      <c r="B6" s="34" t="s">
        <v>7</v>
      </c>
      <c r="C6" s="35" t="e">
        <f>IF(C5&lt;100000,"No Credit Due",C5/C3)</f>
        <v>#DIV/0!</v>
      </c>
      <c r="I6" s="4">
        <v>0.1</v>
      </c>
      <c r="J6" s="4">
        <v>0.01</v>
      </c>
      <c r="K6" s="4">
        <v>0.17499999999999999</v>
      </c>
      <c r="L6" s="5">
        <v>2E-3</v>
      </c>
      <c r="M6" s="5">
        <v>3.4799999999999998E-2</v>
      </c>
    </row>
    <row r="7" spans="2:18" x14ac:dyDescent="0.3">
      <c r="B7" s="34" t="s">
        <v>8</v>
      </c>
      <c r="C7" s="35" t="str">
        <f>IFERROR(VLOOKUP(C6,I3:K8,2,TRUE),"")</f>
        <v/>
      </c>
      <c r="I7" s="3">
        <v>0.125</v>
      </c>
      <c r="J7" s="3">
        <v>1.2500000000000001E-2</v>
      </c>
      <c r="K7" s="3">
        <v>0.2</v>
      </c>
      <c r="L7" s="6">
        <v>2.5000000000000001E-3</v>
      </c>
      <c r="M7" s="6">
        <v>3.9800000000000002E-2</v>
      </c>
    </row>
    <row r="8" spans="2:18" x14ac:dyDescent="0.3">
      <c r="B8" s="34" t="s">
        <v>9</v>
      </c>
      <c r="C8" s="35" t="str">
        <f>IFERROR(VLOOKUP(C6,I3:K8,3,TRUE),"")</f>
        <v/>
      </c>
      <c r="I8" s="4">
        <v>0.15</v>
      </c>
      <c r="J8" s="4">
        <v>1.4999999999999999E-2</v>
      </c>
      <c r="K8" s="4">
        <v>0.22500000000000001</v>
      </c>
      <c r="L8" s="5">
        <v>3.0000000000000001E-3</v>
      </c>
      <c r="M8" s="5">
        <v>4.4699999999999997E-2</v>
      </c>
    </row>
    <row r="9" spans="2:18" x14ac:dyDescent="0.3">
      <c r="B9" s="34" t="s">
        <v>10</v>
      </c>
      <c r="C9" s="67" t="str">
        <f>IFERROR(VLOOKUP(C6,I3:M8,4,TRUE),"")</f>
        <v/>
      </c>
      <c r="I9" s="10"/>
      <c r="J9" s="10"/>
      <c r="K9" s="10"/>
      <c r="L9" s="11"/>
      <c r="M9" s="11"/>
    </row>
    <row r="10" spans="2:18" ht="15" thickBot="1" x14ac:dyDescent="0.35">
      <c r="B10" s="34" t="s">
        <v>11</v>
      </c>
      <c r="C10" s="67" t="str">
        <f>IFERROR(VLOOKUP(C6,I3:M8,5,TRUE),"")</f>
        <v/>
      </c>
      <c r="I10" s="74" t="s">
        <v>22</v>
      </c>
      <c r="J10" s="74"/>
      <c r="K10" s="74"/>
      <c r="L10" s="74"/>
    </row>
    <row r="11" spans="2:18" x14ac:dyDescent="0.3">
      <c r="B11" s="34" t="s">
        <v>12</v>
      </c>
      <c r="C11" s="66" t="str">
        <f>IFERROR(C3*C9,"")</f>
        <v/>
      </c>
      <c r="H11" s="29" t="s">
        <v>23</v>
      </c>
      <c r="I11" s="30">
        <v>100000</v>
      </c>
      <c r="J11" s="30">
        <v>200000</v>
      </c>
      <c r="K11" s="31">
        <v>300000</v>
      </c>
      <c r="L11" s="33">
        <v>2000000</v>
      </c>
      <c r="M11" s="32" t="s">
        <v>24</v>
      </c>
      <c r="N11" s="29" t="s">
        <v>25</v>
      </c>
      <c r="O11" s="29" t="s">
        <v>26</v>
      </c>
      <c r="Q11" s="12"/>
    </row>
    <row r="12" spans="2:18" x14ac:dyDescent="0.3">
      <c r="B12" s="34" t="s">
        <v>13</v>
      </c>
      <c r="C12" s="66" t="str">
        <f>IFERROR(IF(C5&gt;2000000,2000000*C10,C5*C10),"")</f>
        <v/>
      </c>
      <c r="H12" s="13">
        <v>2000000</v>
      </c>
      <c r="I12" s="14">
        <f>$I$11/H12</f>
        <v>0.05</v>
      </c>
      <c r="J12" s="14">
        <f>$J$11/H12</f>
        <v>0.1</v>
      </c>
      <c r="K12" s="22">
        <f>$K$11/H12</f>
        <v>0.15</v>
      </c>
      <c r="L12" s="26">
        <f>$L$11/H12</f>
        <v>1</v>
      </c>
      <c r="M12" s="24">
        <f>H12*L8</f>
        <v>6000</v>
      </c>
      <c r="N12" s="21">
        <f>L11*M8</f>
        <v>89400</v>
      </c>
      <c r="O12" s="21">
        <f>M12+N12</f>
        <v>95400</v>
      </c>
      <c r="P12" s="7"/>
      <c r="Q12" s="8"/>
      <c r="R12" s="7"/>
    </row>
    <row r="13" spans="2:18" x14ac:dyDescent="0.3">
      <c r="B13" s="64" t="s">
        <v>14</v>
      </c>
      <c r="C13" s="65">
        <f>IFERROR(D13*C10,0)</f>
        <v>0</v>
      </c>
      <c r="D13" s="16" t="str">
        <f>IF(SUM(C5-2000000)&lt;=0,"",C5-2000000)</f>
        <v/>
      </c>
      <c r="H13" s="16">
        <v>3000000</v>
      </c>
      <c r="I13" s="17">
        <f t="shared" ref="I13:I19" si="0">$I$11/H13</f>
        <v>3.3333333333333333E-2</v>
      </c>
      <c r="J13" s="18">
        <f t="shared" ref="J13:J19" si="1">$J$11/H13</f>
        <v>6.6666666666666666E-2</v>
      </c>
      <c r="K13" s="23">
        <f t="shared" ref="K13:K19" si="2">$K$11/H13</f>
        <v>0.1</v>
      </c>
      <c r="L13" s="27">
        <f t="shared" ref="L13:L19" si="3">$L$11/H13</f>
        <v>0.66666666666666663</v>
      </c>
      <c r="M13" s="25">
        <f>H13*L7</f>
        <v>7500</v>
      </c>
      <c r="N13" s="15">
        <f>L11*M7</f>
        <v>79600</v>
      </c>
      <c r="O13" s="15">
        <f t="shared" ref="O13:O17" si="4">M13+N13</f>
        <v>87100</v>
      </c>
      <c r="P13" s="7"/>
      <c r="Q13" s="8"/>
      <c r="R13" s="7"/>
    </row>
    <row r="14" spans="2:18" x14ac:dyDescent="0.3">
      <c r="B14" s="34" t="s">
        <v>27</v>
      </c>
      <c r="C14" s="66" t="str">
        <f>IFERROR(C11+C12+C13,"")</f>
        <v/>
      </c>
      <c r="H14" s="13">
        <v>4000000</v>
      </c>
      <c r="I14" s="14">
        <f t="shared" si="0"/>
        <v>2.5000000000000001E-2</v>
      </c>
      <c r="J14" s="14">
        <f t="shared" si="1"/>
        <v>0.05</v>
      </c>
      <c r="K14" s="22">
        <f t="shared" si="2"/>
        <v>7.4999999999999997E-2</v>
      </c>
      <c r="L14" s="26">
        <f t="shared" si="3"/>
        <v>0.5</v>
      </c>
      <c r="M14" s="24">
        <f>H14*L6</f>
        <v>8000</v>
      </c>
      <c r="N14" s="21">
        <f>L11*M6</f>
        <v>69600</v>
      </c>
      <c r="O14" s="21">
        <f t="shared" si="4"/>
        <v>77600</v>
      </c>
      <c r="P14" s="7"/>
      <c r="Q14" s="8"/>
      <c r="R14" s="7"/>
    </row>
    <row r="15" spans="2:18" x14ac:dyDescent="0.3">
      <c r="B15" s="38" t="s">
        <v>28</v>
      </c>
      <c r="H15" s="16">
        <v>5000000</v>
      </c>
      <c r="I15" s="19">
        <f t="shared" si="0"/>
        <v>0.02</v>
      </c>
      <c r="J15" s="18">
        <f t="shared" si="1"/>
        <v>0.04</v>
      </c>
      <c r="K15" s="23">
        <f t="shared" si="2"/>
        <v>0.06</v>
      </c>
      <c r="L15" s="27">
        <f t="shared" si="3"/>
        <v>0.4</v>
      </c>
      <c r="M15" s="25">
        <f>H15*L5</f>
        <v>7500</v>
      </c>
      <c r="N15" s="15">
        <f>L11*M5</f>
        <v>59600</v>
      </c>
      <c r="O15" s="15">
        <f t="shared" si="4"/>
        <v>67100</v>
      </c>
      <c r="P15" s="7"/>
      <c r="Q15" s="8"/>
      <c r="R15" s="7"/>
    </row>
    <row r="16" spans="2:18" x14ac:dyDescent="0.3">
      <c r="H16" s="13">
        <v>6000000</v>
      </c>
      <c r="I16" s="19">
        <f t="shared" si="0"/>
        <v>1.6666666666666666E-2</v>
      </c>
      <c r="J16" s="14">
        <f t="shared" si="1"/>
        <v>3.3333333333333333E-2</v>
      </c>
      <c r="K16" s="22">
        <f t="shared" si="2"/>
        <v>0.05</v>
      </c>
      <c r="L16" s="26">
        <f t="shared" si="3"/>
        <v>0.33333333333333331</v>
      </c>
      <c r="M16" s="24">
        <f t="shared" ref="M16:M17" si="5">H16*$L$4</f>
        <v>6000</v>
      </c>
      <c r="N16" s="21">
        <f>$L$11*$M$7</f>
        <v>79600</v>
      </c>
      <c r="O16" s="21">
        <f t="shared" si="4"/>
        <v>85600</v>
      </c>
      <c r="P16" s="7"/>
      <c r="Q16" s="8"/>
      <c r="R16" s="7"/>
    </row>
    <row r="17" spans="8:18" x14ac:dyDescent="0.3">
      <c r="H17" s="16">
        <v>7000000</v>
      </c>
      <c r="I17" s="19">
        <f t="shared" si="0"/>
        <v>1.4285714285714285E-2</v>
      </c>
      <c r="J17" s="18">
        <f t="shared" si="1"/>
        <v>2.8571428571428571E-2</v>
      </c>
      <c r="K17" s="23">
        <f t="shared" si="2"/>
        <v>4.2857142857142858E-2</v>
      </c>
      <c r="L17" s="27">
        <f t="shared" si="3"/>
        <v>0.2857142857142857</v>
      </c>
      <c r="M17" s="25">
        <f t="shared" si="5"/>
        <v>7000</v>
      </c>
      <c r="N17" s="15">
        <f>$L$11*$M$7</f>
        <v>79600</v>
      </c>
      <c r="O17" s="15">
        <f t="shared" si="4"/>
        <v>86600</v>
      </c>
      <c r="P17" s="7"/>
      <c r="Q17" s="8"/>
      <c r="R17" s="7"/>
    </row>
    <row r="18" spans="8:18" x14ac:dyDescent="0.3">
      <c r="H18" s="13">
        <v>8000000</v>
      </c>
      <c r="I18" s="19">
        <f t="shared" si="0"/>
        <v>1.2500000000000001E-2</v>
      </c>
      <c r="J18" s="20">
        <f t="shared" si="1"/>
        <v>2.5000000000000001E-2</v>
      </c>
      <c r="K18" s="22">
        <f t="shared" si="2"/>
        <v>3.7499999999999999E-2</v>
      </c>
      <c r="L18" s="26">
        <f t="shared" si="3"/>
        <v>0.25</v>
      </c>
      <c r="M18" s="24">
        <f>H18*$L$4</f>
        <v>8000</v>
      </c>
      <c r="N18" s="21">
        <f>$L$11*$M$7</f>
        <v>79600</v>
      </c>
      <c r="O18" s="21">
        <f>M18+N18</f>
        <v>87600</v>
      </c>
      <c r="P18" s="7"/>
      <c r="Q18" s="8"/>
      <c r="R18" s="7"/>
    </row>
    <row r="19" spans="8:18" ht="15" thickBot="1" x14ac:dyDescent="0.35">
      <c r="H19" s="16">
        <v>9000000</v>
      </c>
      <c r="I19" s="19">
        <f t="shared" si="0"/>
        <v>1.1111111111111112E-2</v>
      </c>
      <c r="J19" s="20">
        <f t="shared" si="1"/>
        <v>2.2222222222222223E-2</v>
      </c>
      <c r="K19" s="23">
        <f t="shared" si="2"/>
        <v>3.3333333333333333E-2</v>
      </c>
      <c r="L19" s="28">
        <f t="shared" si="3"/>
        <v>0.22222222222222221</v>
      </c>
      <c r="M19" s="25">
        <f>H19*L3</f>
        <v>4500</v>
      </c>
      <c r="N19" s="15">
        <f>L11*M3</f>
        <v>39800</v>
      </c>
      <c r="O19" s="15">
        <f>M19+N19</f>
        <v>44300</v>
      </c>
      <c r="P19" s="7"/>
      <c r="Q19" s="8"/>
      <c r="R19" s="7"/>
    </row>
    <row r="21" spans="8:18" x14ac:dyDescent="0.3">
      <c r="I21" s="2">
        <f>I12</f>
        <v>0.05</v>
      </c>
      <c r="J21" s="2">
        <f t="shared" ref="J21:L21" si="6">J12</f>
        <v>0.1</v>
      </c>
      <c r="K21" s="2">
        <f t="shared" si="6"/>
        <v>0.15</v>
      </c>
      <c r="L21" s="2">
        <f t="shared" si="6"/>
        <v>1</v>
      </c>
      <c r="O21" s="8"/>
    </row>
    <row r="22" spans="8:18" x14ac:dyDescent="0.3">
      <c r="H22" s="9">
        <f>H15</f>
        <v>5000000</v>
      </c>
      <c r="I22" s="9">
        <f>H15*I12</f>
        <v>250000</v>
      </c>
      <c r="J22" s="9">
        <f>H15*J12</f>
        <v>500000</v>
      </c>
      <c r="K22" s="9">
        <f>H15*K12</f>
        <v>750000</v>
      </c>
      <c r="L22" s="9">
        <f>H15*L12</f>
        <v>5000000</v>
      </c>
      <c r="M22" s="8">
        <f>H22*L8</f>
        <v>15000</v>
      </c>
      <c r="N22" s="8">
        <f>L22*M8</f>
        <v>223499.99999999997</v>
      </c>
    </row>
    <row r="23" spans="8:18" x14ac:dyDescent="0.3">
      <c r="H23" s="9">
        <f>H19</f>
        <v>9000000</v>
      </c>
      <c r="I23" s="9">
        <f>H19*I12</f>
        <v>450000</v>
      </c>
      <c r="J23" s="9">
        <f>H19*J12</f>
        <v>900000</v>
      </c>
      <c r="K23" s="9">
        <f>H19*K12</f>
        <v>1350000</v>
      </c>
      <c r="L23" s="9">
        <f>H19*L12</f>
        <v>9000000</v>
      </c>
      <c r="M23" s="8">
        <f>H23*L8</f>
        <v>27000</v>
      </c>
      <c r="N23" s="8">
        <f>L23*M8</f>
        <v>402299.99999999994</v>
      </c>
    </row>
  </sheetData>
  <sheetProtection algorithmName="SHA-512" hashValue="pI4FEZRr//M5ifeKn+3h0xfMclNh5tjXsnmMI1BA3SdI+QE/2h4nCXMpMVA+W1kFUHfIm5S1LC9+6Tivxy4VtA==" saltValue="KwPcRnoUqRlusOTFTG/otg==" spinCount="100000" sheet="1" objects="1" scenarios="1"/>
  <mergeCells count="1">
    <mergeCell ref="I10:L10"/>
  </mergeCells>
  <conditionalFormatting sqref="D5">
    <cfRule type="containsText" dxfId="0" priority="1" operator="containsText" text="Credit will be paid on 2m items only">
      <formula>NOT(ISERROR(SEARCH("Credit will be paid on 2m items only",D5)))</formula>
    </cfRule>
  </conditionalFormatting>
  <dataValidations count="1">
    <dataValidation type="whole" allowBlank="1" showInputMessage="1" showErrorMessage="1" sqref="C5" xr:uid="{014EC10F-BE8A-470F-A88A-80131F0B47CA}">
      <formula1>C4</formula1>
      <formula2>100000000</formula2>
    </dataValidation>
  </dataValidations>
  <pageMargins left="0.7" right="0.7" top="0.75" bottom="0.75" header="0.3" footer="0.3"/>
  <pageSetup paperSize="9" orientation="portrait" horizontalDpi="203" verticalDpi="203" r:id="rId1"/>
  <headerFooter>
    <oddFooter>&amp;L_x000D_&amp;1#&amp;"Calibri"&amp;10&amp;K000000 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a73c22-6f8f-41f7-8d41-c2d7e0e062b3" xsi:nil="true"/>
    <lcf76f155ced4ddcb4097134ff3c332f xmlns="839240e2-65c3-4e2a-a952-75f4f9e2e07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63271C475B544C93ABD8D9D37AB57E" ma:contentTypeVersion="18" ma:contentTypeDescription="Create a new document." ma:contentTypeScope="" ma:versionID="c23e330b65a556f7cc871cabf823d906">
  <xsd:schema xmlns:xsd="http://www.w3.org/2001/XMLSchema" xmlns:xs="http://www.w3.org/2001/XMLSchema" xmlns:p="http://schemas.microsoft.com/office/2006/metadata/properties" xmlns:ns2="839240e2-65c3-4e2a-a952-75f4f9e2e07d" xmlns:ns3="7ea73c22-6f8f-41f7-8d41-c2d7e0e062b3" targetNamespace="http://schemas.microsoft.com/office/2006/metadata/properties" ma:root="true" ma:fieldsID="f3ffb15ab066d1673b821d7d658f778c" ns2:_="" ns3:_="">
    <xsd:import namespace="839240e2-65c3-4e2a-a952-75f4f9e2e07d"/>
    <xsd:import namespace="7ea73c22-6f8f-41f7-8d41-c2d7e0e06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40e2-65c3-4e2a-a952-75f4f9e2e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description="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9b418d2-ef09-49b2-a66b-b42e602f1b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73c22-6f8f-41f7-8d41-c2d7e0e06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3ed546-3245-491a-9ba5-e56ec35b3d89}" ma:internalName="TaxCatchAll" ma:showField="CatchAllData" ma:web="7ea73c22-6f8f-41f7-8d41-c2d7e0e06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EA5E8-BAF0-4BF2-BF09-10A144A5BFCA}">
  <ds:schemaRefs>
    <ds:schemaRef ds:uri="http://purl.org/dc/terms/"/>
    <ds:schemaRef ds:uri="839240e2-65c3-4e2a-a952-75f4f9e2e07d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ea73c22-6f8f-41f7-8d41-c2d7e0e062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16FE03-E5F4-4206-9403-08A0D3DC9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26040-C794-4930-AFDB-28694CE83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40e2-65c3-4e2a-a952-75f4f9e2e07d"/>
    <ds:schemaRef ds:uri="7ea73c22-6f8f-41f7-8d41-c2d7e0e06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O'Hare</dc:creator>
  <cp:keywords/>
  <dc:description/>
  <cp:lastModifiedBy>Stephen O'Hare</cp:lastModifiedBy>
  <cp:revision/>
  <dcterms:created xsi:type="dcterms:W3CDTF">2024-07-24T13:33:52Z</dcterms:created>
  <dcterms:modified xsi:type="dcterms:W3CDTF">2024-08-02T10:27:33Z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etDate">
    <vt:lpwstr>2024-07-25T07:54:00Z</vt:lpwstr>
  </property>
  <property fmtid="{D5CDD505-2E9C-101B-9397-08002B2CF9AE}" pid="4" name="MSIP_Label_980f36f3-41a5-4f45-a6a2-e224f336accd_Method">
    <vt:lpwstr>Standard</vt:lpwstr>
  </property>
  <property fmtid="{D5CDD505-2E9C-101B-9397-08002B2CF9AE}" pid="5" name="MSIP_Label_980f36f3-41a5-4f45-a6a2-e224f336accd_Name">
    <vt:lpwstr>980f36f3-41a5-4f45-a6a2-e224f336accd</vt:lpwstr>
  </property>
  <property fmtid="{D5CDD505-2E9C-101B-9397-08002B2CF9AE}" pid="6" name="MSIP_Label_980f36f3-41a5-4f45-a6a2-e224f336accd_SiteId">
    <vt:lpwstr>7a082108-90dd-41ac-be41-9b8feabee2da</vt:lpwstr>
  </property>
  <property fmtid="{D5CDD505-2E9C-101B-9397-08002B2CF9AE}" pid="7" name="MSIP_Label_980f36f3-41a5-4f45-a6a2-e224f336accd_ActionId">
    <vt:lpwstr>2891771f-2311-40e3-b78f-7fa321d54920</vt:lpwstr>
  </property>
  <property fmtid="{D5CDD505-2E9C-101B-9397-08002B2CF9AE}" pid="8" name="MSIP_Label_980f36f3-41a5-4f45-a6a2-e224f336accd_ContentBits">
    <vt:lpwstr>2</vt:lpwstr>
  </property>
  <property fmtid="{D5CDD505-2E9C-101B-9397-08002B2CF9AE}" pid="9" name="ContentTypeId">
    <vt:lpwstr>0x010100F863271C475B544C93ABD8D9D37AB57E</vt:lpwstr>
  </property>
  <property fmtid="{D5CDD505-2E9C-101B-9397-08002B2CF9AE}" pid="10" name="MediaServiceImageTags">
    <vt:lpwstr/>
  </property>
</Properties>
</file>