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loe.spurgeon\OneDrive - Royal Mail Group Ltd\Documents\Wholesale\Dynamic Baselines\Q1\Templates and Calculators\"/>
    </mc:Choice>
  </mc:AlternateContent>
  <xr:revisionPtr revIDLastSave="0" documentId="13_ncr:1_{9C00D909-EFE4-448C-BEA2-1857481C1C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puts" sheetId="2" r:id="rId1"/>
    <sheet name="Adjustment Calculator" sheetId="1" r:id="rId2"/>
    <sheet name="Lookups" sheetId="3" state="hidden" r:id="rId3"/>
  </sheets>
  <definedNames>
    <definedName name="L_ContractTypes">Lookups!$B$4:$B$4</definedName>
    <definedName name="S_ContractType">Lookups!$F$4</definedName>
    <definedName name="St_ContractTypes">Lookups!$B$3</definedName>
    <definedName name="St_EWProfile">Inputs!$C$6</definedName>
    <definedName name="ST_NIProfile">Inputs!$M$6</definedName>
    <definedName name="St_SProfile">Inputs!$H$6</definedName>
    <definedName name="St_Threshold">Inputs!$S$6</definedName>
    <definedName name="St_WAPVP">Inputs!$B$19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B20" i="2" l="1" a="1"/>
  <c r="B20" i="2" s="1"/>
  <c r="B7" i="2" a="1"/>
  <c r="B7" i="2" s="1"/>
  <c r="G7" i="1"/>
  <c r="G6" i="1"/>
  <c r="G28" i="1"/>
  <c r="I31" i="1"/>
  <c r="F31" i="1"/>
  <c r="E31" i="1"/>
  <c r="D31" i="1"/>
  <c r="C31" i="1"/>
  <c r="L17" i="1"/>
  <c r="K17" i="1"/>
  <c r="J17" i="1"/>
  <c r="I17" i="1"/>
  <c r="F17" i="1"/>
  <c r="E17" i="1"/>
  <c r="D17" i="1"/>
  <c r="C17" i="1"/>
  <c r="G27" i="1"/>
  <c r="G29" i="1" s="1"/>
  <c r="M14" i="1"/>
  <c r="M13" i="1"/>
  <c r="G14" i="1"/>
  <c r="G13" i="1"/>
  <c r="G15" i="1" s="1"/>
  <c r="O17" i="1"/>
  <c r="F30" i="1"/>
  <c r="F33" i="1" s="1"/>
  <c r="E30" i="1"/>
  <c r="E33" i="1" s="1"/>
  <c r="D30" i="1"/>
  <c r="D33" i="1" s="1"/>
  <c r="C30" i="1"/>
  <c r="C33" i="1" s="1"/>
  <c r="L16" i="1"/>
  <c r="L18" i="1" s="1"/>
  <c r="K16" i="1"/>
  <c r="J16" i="1"/>
  <c r="J18" i="1" s="1"/>
  <c r="I16" i="1"/>
  <c r="I18" i="1" s="1"/>
  <c r="F16" i="1"/>
  <c r="F19" i="1" s="1"/>
  <c r="E16" i="1"/>
  <c r="E19" i="1" s="1"/>
  <c r="D16" i="1"/>
  <c r="D18" i="1" s="1"/>
  <c r="C16" i="1"/>
  <c r="C19" i="1" s="1"/>
  <c r="Q7" i="2"/>
  <c r="L7" i="2"/>
  <c r="G7" i="2"/>
  <c r="G4" i="3"/>
  <c r="G12" i="1"/>
  <c r="G26" i="1"/>
  <c r="M12" i="1"/>
  <c r="M15" i="1" l="1"/>
  <c r="I19" i="1"/>
  <c r="I20" i="1" s="1"/>
  <c r="I21" i="1" s="1"/>
  <c r="F18" i="1"/>
  <c r="F20" i="1" s="1"/>
  <c r="F21" i="1" s="1"/>
  <c r="F22" i="1" s="1"/>
  <c r="D32" i="1"/>
  <c r="D34" i="1" s="1"/>
  <c r="D35" i="1" s="1"/>
  <c r="D36" i="1" s="1"/>
  <c r="C32" i="1"/>
  <c r="C34" i="1" s="1"/>
  <c r="C35" i="1" s="1"/>
  <c r="C36" i="1" s="1"/>
  <c r="J19" i="1"/>
  <c r="J20" i="1" s="1"/>
  <c r="J21" i="1" s="1"/>
  <c r="J22" i="1" s="1"/>
  <c r="D19" i="1"/>
  <c r="D20" i="1" s="1"/>
  <c r="D21" i="1" s="1"/>
  <c r="D22" i="1" s="1"/>
  <c r="M16" i="1"/>
  <c r="K18" i="1"/>
  <c r="F32" i="1"/>
  <c r="F34" i="1" s="1"/>
  <c r="F35" i="1" s="1"/>
  <c r="F36" i="1" s="1"/>
  <c r="G30" i="1"/>
  <c r="L19" i="1"/>
  <c r="L20" i="1" s="1"/>
  <c r="L21" i="1" s="1"/>
  <c r="L22" i="1" s="1"/>
  <c r="E32" i="1"/>
  <c r="E34" i="1" s="1"/>
  <c r="E35" i="1" s="1"/>
  <c r="E36" i="1" s="1"/>
  <c r="K19" i="1"/>
  <c r="G16" i="1"/>
  <c r="C18" i="1"/>
  <c r="C20" i="1" s="1"/>
  <c r="C21" i="1" s="1"/>
  <c r="C22" i="1" s="1"/>
  <c r="E18" i="1"/>
  <c r="E20" i="1" s="1"/>
  <c r="E21" i="1" s="1"/>
  <c r="E22" i="1" s="1"/>
  <c r="K20" i="1" l="1"/>
  <c r="K21" i="1" s="1"/>
  <c r="K22" i="1" s="1"/>
  <c r="G22" i="1"/>
  <c r="I22" i="1"/>
  <c r="G35" i="1"/>
  <c r="G21" i="1"/>
  <c r="G36" i="1"/>
  <c r="M22" i="1" l="1"/>
  <c r="C39" i="1" s="1"/>
  <c r="M21" i="1"/>
  <c r="C38" i="1" l="1"/>
  <c r="D38" i="1" s="1"/>
</calcChain>
</file>

<file path=xl/sharedStrings.xml><?xml version="1.0" encoding="utf-8"?>
<sst xmlns="http://schemas.openxmlformats.org/spreadsheetml/2006/main" count="98" uniqueCount="48">
  <si>
    <t>Inputs to calculator</t>
  </si>
  <si>
    <t>Royal Mail zonal profile percentage</t>
  </si>
  <si>
    <t>England &amp; Wales</t>
  </si>
  <si>
    <t>Scotland</t>
  </si>
  <si>
    <t>Northern Ireland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</si>
  <si>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</si>
  <si>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</si>
  <si>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</si>
  <si>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</si>
  <si>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</si>
  <si>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</si>
  <si>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</si>
  <si>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</si>
  <si>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</si>
  <si>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Weighted average price variance percentage (WAPVP)</t>
  </si>
  <si>
    <t>Weighted average of zonal variance percentages and Royal Mail's percentage of revenue</t>
  </si>
  <si>
    <t>Adjustment calculator</t>
  </si>
  <si>
    <t>Customer Volume and Spend by Region</t>
  </si>
  <si>
    <t>London</t>
  </si>
  <si>
    <t>TOTAL INVOICED AMOUNT</t>
  </si>
  <si>
    <t>Customer Volume</t>
  </si>
  <si>
    <t>Customer volume by region</t>
  </si>
  <si>
    <t>Customer Spend</t>
  </si>
  <si>
    <t>Total customer spend on the regional price plan by region</t>
  </si>
  <si>
    <t>Regional Calculators</t>
  </si>
  <si>
    <t>Customer profile by Region</t>
  </si>
  <si>
    <t>Customer Volume by Region</t>
  </si>
  <si>
    <t>Invoiced Amount by Region</t>
  </si>
  <si>
    <t>Customer Average Price by Region</t>
  </si>
  <si>
    <t>RMG Regional Profile</t>
  </si>
  <si>
    <t>Zonal price mark up</t>
  </si>
  <si>
    <t>Threshold - lower</t>
  </si>
  <si>
    <t>Threshold - upper</t>
  </si>
  <si>
    <t>Variation on threshold</t>
  </si>
  <si>
    <t>Adjustment items</t>
  </si>
  <si>
    <t>ADJUSTMENT</t>
  </si>
  <si>
    <t>Total Adjustment Items</t>
  </si>
  <si>
    <t>TOTAL ADJUSTMENT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</si>
  <si>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</si>
  <si>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</si>
  <si>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</si>
  <si>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</si>
  <si>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</si>
  <si>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</si>
  <si>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Percentage of volume by zone. RM profile based on MCS and Mailmark data Period 4-12 2023/24 and Period 1-3 2024/25</t>
  </si>
  <si>
    <t>As published at April 2024</t>
  </si>
  <si>
    <t>Published on 01 July 2024</t>
  </si>
  <si>
    <t>RMW Access Letters Contract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</si>
</sst>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&quot;£&quot;#,##0"/>
    <numFmt numFmtId="167" formatCode="0.000\p"/>
    <numFmt numFmtId="168" formatCode="_-* #,##0_-;\-* #,##0_-;_-* &quot;-&quot;??_-;_-@_-"/>
    <numFmt numFmtId="169" formatCode="0.00\p"/>
    <numFmt numFmtId="170" formatCode="0.00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10" fontId="3" fillId="2" borderId="1" xfId="3" applyNumberFormat="1" applyFont="1" applyFill="1" applyBorder="1" applyAlignment="1" applyProtection="1">
      <alignment vertical="center"/>
      <protection locked="0"/>
    </xf>
    <xf numFmtId="10" fontId="3" fillId="2" borderId="2" xfId="3" applyNumberFormat="1" applyFont="1" applyFill="1" applyBorder="1" applyAlignment="1" applyProtection="1">
      <alignment vertical="center"/>
      <protection locked="0"/>
    </xf>
    <xf numFmtId="10" fontId="3" fillId="2" borderId="3" xfId="3" applyNumberFormat="1" applyFont="1" applyFill="1" applyBorder="1" applyAlignment="1" applyProtection="1">
      <alignment vertical="center"/>
      <protection locked="0"/>
    </xf>
    <xf numFmtId="10" fontId="3" fillId="2" borderId="4" xfId="3" applyNumberFormat="1" applyFont="1" applyFill="1" applyBorder="1" applyAlignment="1" applyProtection="1">
      <alignment vertical="center"/>
      <protection locked="0"/>
    </xf>
    <xf numFmtId="10" fontId="3" fillId="2" borderId="5" xfId="3" applyNumberFormat="1" applyFont="1" applyFill="1" applyBorder="1" applyAlignment="1" applyProtection="1">
      <alignment vertical="center"/>
      <protection locked="0"/>
    </xf>
    <xf numFmtId="10" fontId="3" fillId="2" borderId="6" xfId="3" applyNumberFormat="1" applyFont="1" applyFill="1" applyBorder="1" applyAlignment="1" applyProtection="1">
      <alignment vertical="center"/>
      <protection locked="0"/>
    </xf>
    <xf numFmtId="0" fontId="4" fillId="3" borderId="0" xfId="2" applyFont="1" applyFill="1"/>
    <xf numFmtId="0" fontId="5" fillId="3" borderId="0" xfId="2" applyFont="1" applyFill="1"/>
    <xf numFmtId="0" fontId="6" fillId="0" borderId="0" xfId="2" applyFont="1"/>
    <xf numFmtId="0" fontId="7" fillId="0" borderId="7" xfId="2" applyFont="1" applyBorder="1"/>
    <xf numFmtId="0" fontId="3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3" fillId="4" borderId="8" xfId="2" applyFont="1" applyFill="1" applyBorder="1"/>
    <xf numFmtId="0" fontId="3" fillId="4" borderId="8" xfId="2" applyFont="1" applyFill="1" applyBorder="1" applyAlignment="1" applyProtection="1">
      <alignment horizontal="center"/>
      <protection locked="0"/>
    </xf>
    <xf numFmtId="0" fontId="3" fillId="4" borderId="10" xfId="2" applyFont="1" applyFill="1" applyBorder="1"/>
    <xf numFmtId="0" fontId="3" fillId="0" borderId="11" xfId="2" applyFont="1" applyBorder="1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0" fillId="0" borderId="10" xfId="0" applyBorder="1"/>
    <xf numFmtId="0" fontId="3" fillId="0" borderId="7" xfId="0" applyFont="1" applyBorder="1" applyAlignment="1">
      <alignment vertical="center"/>
    </xf>
    <xf numFmtId="0" fontId="0" fillId="0" borderId="9" xfId="0" applyBorder="1"/>
    <xf numFmtId="0" fontId="3" fillId="0" borderId="0" xfId="0" applyFont="1" applyAlignment="1">
      <alignment vertical="center" wrapText="1"/>
    </xf>
    <xf numFmtId="10" fontId="3" fillId="0" borderId="11" xfId="0" applyNumberFormat="1" applyFont="1" applyBorder="1" applyAlignment="1">
      <alignment horizontal="center" vertical="center"/>
    </xf>
    <xf numFmtId="10" fontId="3" fillId="0" borderId="6" xfId="3" applyNumberFormat="1" applyFont="1" applyFill="1" applyBorder="1" applyAlignment="1" applyProtection="1">
      <alignment horizontal="center" vertical="center"/>
    </xf>
    <xf numFmtId="10" fontId="3" fillId="0" borderId="3" xfId="3" applyNumberFormat="1" applyFont="1" applyFill="1" applyBorder="1" applyAlignment="1" applyProtection="1">
      <alignment horizontal="center" vertical="center"/>
    </xf>
    <xf numFmtId="10" fontId="3" fillId="0" borderId="4" xfId="3" applyNumberFormat="1" applyFont="1" applyFill="1" applyBorder="1" applyAlignment="1" applyProtection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0" fontId="3" fillId="0" borderId="0" xfId="3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0" fontId="3" fillId="0" borderId="15" xfId="0" applyNumberFormat="1" applyFont="1" applyBorder="1"/>
    <xf numFmtId="0" fontId="3" fillId="0" borderId="12" xfId="0" applyFont="1" applyBorder="1"/>
    <xf numFmtId="10" fontId="3" fillId="0" borderId="12" xfId="3" applyNumberFormat="1" applyFont="1" applyBorder="1" applyProtection="1"/>
    <xf numFmtId="10" fontId="3" fillId="0" borderId="0" xfId="3" applyNumberFormat="1" applyFont="1" applyBorder="1" applyProtection="1"/>
    <xf numFmtId="10" fontId="3" fillId="0" borderId="13" xfId="3" applyNumberFormat="1" applyFont="1" applyBorder="1" applyProtection="1"/>
    <xf numFmtId="167" fontId="3" fillId="0" borderId="0" xfId="0" applyNumberFormat="1" applyFont="1" applyAlignment="1">
      <alignment vertical="center"/>
    </xf>
    <xf numFmtId="0" fontId="7" fillId="0" borderId="0" xfId="0" applyFont="1"/>
    <xf numFmtId="2" fontId="3" fillId="0" borderId="0" xfId="0" applyNumberFormat="1" applyFont="1"/>
    <xf numFmtId="10" fontId="3" fillId="0" borderId="0" xfId="3" applyNumberFormat="1" applyFont="1" applyProtection="1"/>
    <xf numFmtId="10" fontId="3" fillId="0" borderId="2" xfId="3" applyNumberFormat="1" applyFont="1" applyFill="1" applyBorder="1" applyProtection="1"/>
    <xf numFmtId="10" fontId="3" fillId="0" borderId="12" xfId="0" applyNumberFormat="1" applyFont="1" applyBorder="1"/>
    <xf numFmtId="10" fontId="3" fillId="0" borderId="14" xfId="0" applyNumberFormat="1" applyFont="1" applyBorder="1"/>
    <xf numFmtId="10" fontId="3" fillId="0" borderId="13" xfId="0" applyNumberFormat="1" applyFont="1" applyBorder="1"/>
    <xf numFmtId="169" fontId="3" fillId="0" borderId="13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0" fontId="3" fillId="0" borderId="11" xfId="0" applyFont="1" applyBorder="1"/>
    <xf numFmtId="10" fontId="3" fillId="0" borderId="6" xfId="3" applyNumberFormat="1" applyFont="1" applyBorder="1" applyProtection="1"/>
    <xf numFmtId="10" fontId="3" fillId="0" borderId="3" xfId="3" applyNumberFormat="1" applyFont="1" applyBorder="1" applyProtection="1"/>
    <xf numFmtId="10" fontId="3" fillId="0" borderId="11" xfId="0" applyNumberFormat="1" applyFont="1" applyBorder="1"/>
    <xf numFmtId="0" fontId="3" fillId="0" borderId="15" xfId="0" applyFont="1" applyBorder="1"/>
    <xf numFmtId="10" fontId="3" fillId="0" borderId="1" xfId="0" applyNumberFormat="1" applyFont="1" applyBorder="1"/>
    <xf numFmtId="10" fontId="3" fillId="0" borderId="5" xfId="0" applyNumberFormat="1" applyFont="1" applyBorder="1"/>
    <xf numFmtId="0" fontId="3" fillId="0" borderId="14" xfId="0" applyFont="1" applyBorder="1"/>
    <xf numFmtId="3" fontId="3" fillId="0" borderId="0" xfId="0" applyNumberFormat="1" applyFont="1"/>
    <xf numFmtId="3" fontId="3" fillId="0" borderId="11" xfId="0" applyNumberFormat="1" applyFont="1" applyBorder="1"/>
    <xf numFmtId="3" fontId="3" fillId="0" borderId="12" xfId="0" applyNumberFormat="1" applyFont="1" applyBorder="1"/>
    <xf numFmtId="0" fontId="7" fillId="4" borderId="7" xfId="0" applyFont="1" applyFill="1" applyBorder="1"/>
    <xf numFmtId="166" fontId="3" fillId="4" borderId="9" xfId="0" applyNumberFormat="1" applyFont="1" applyFill="1" applyBorder="1"/>
    <xf numFmtId="166" fontId="7" fillId="4" borderId="7" xfId="0" applyNumberFormat="1" applyFont="1" applyFill="1" applyBorder="1"/>
    <xf numFmtId="166" fontId="3" fillId="4" borderId="8" xfId="0" applyNumberFormat="1" applyFont="1" applyFill="1" applyBorder="1"/>
    <xf numFmtId="164" fontId="3" fillId="0" borderId="0" xfId="1" applyFont="1" applyProtection="1"/>
    <xf numFmtId="168" fontId="3" fillId="0" borderId="0" xfId="1" applyNumberFormat="1" applyFont="1" applyProtection="1"/>
    <xf numFmtId="166" fontId="3" fillId="4" borderId="7" xfId="0" applyNumberFormat="1" applyFont="1" applyFill="1" applyBorder="1"/>
    <xf numFmtId="168" fontId="3" fillId="0" borderId="0" xfId="1" applyNumberFormat="1" applyFont="1" applyBorder="1" applyProtection="1"/>
    <xf numFmtId="0" fontId="11" fillId="0" borderId="0" xfId="0" applyFont="1"/>
    <xf numFmtId="0" fontId="12" fillId="0" borderId="0" xfId="0" applyFont="1"/>
    <xf numFmtId="10" fontId="3" fillId="2" borderId="5" xfId="3" applyNumberFormat="1" applyFont="1" applyFill="1" applyBorder="1" applyProtection="1">
      <protection locked="0"/>
    </xf>
    <xf numFmtId="10" fontId="3" fillId="2" borderId="1" xfId="3" applyNumberFormat="1" applyFont="1" applyFill="1" applyBorder="1" applyProtection="1">
      <protection locked="0"/>
    </xf>
    <xf numFmtId="168" fontId="3" fillId="0" borderId="0" xfId="0" applyNumberFormat="1" applyFont="1"/>
    <xf numFmtId="166" fontId="3" fillId="0" borderId="0" xfId="0" applyNumberFormat="1" applyFont="1"/>
    <xf numFmtId="166" fontId="7" fillId="0" borderId="0" xfId="0" applyNumberFormat="1" applyFont="1"/>
    <xf numFmtId="10" fontId="3" fillId="0" borderId="13" xfId="3" applyNumberFormat="1" applyFont="1" applyFill="1" applyBorder="1" applyProtection="1"/>
    <xf numFmtId="10" fontId="3" fillId="0" borderId="4" xfId="3" applyNumberFormat="1" applyFont="1" applyFill="1" applyBorder="1" applyProtection="1"/>
    <xf numFmtId="165" fontId="7" fillId="0" borderId="0" xfId="0" applyNumberFormat="1" applyFont="1" applyAlignment="1">
      <alignment horizontal="left" vertical="center"/>
    </xf>
    <xf numFmtId="10" fontId="3" fillId="0" borderId="6" xfId="0" applyNumberFormat="1" applyFont="1" applyBorder="1"/>
    <xf numFmtId="10" fontId="3" fillId="0" borderId="4" xfId="3" applyNumberFormat="1" applyFont="1" applyBorder="1" applyProtection="1"/>
    <xf numFmtId="169" fontId="3" fillId="0" borderId="11" xfId="0" applyNumberFormat="1" applyFont="1" applyBorder="1" applyAlignment="1">
      <alignment vertical="center"/>
    </xf>
    <xf numFmtId="10" fontId="3" fillId="0" borderId="0" xfId="3" applyNumberFormat="1" applyFont="1" applyFill="1" applyBorder="1" applyProtection="1"/>
    <xf numFmtId="3" fontId="3" fillId="2" borderId="12" xfId="0" applyNumberFormat="1" applyFont="1" applyFill="1" applyBorder="1" applyAlignment="1" applyProtection="1">
      <alignment vertical="center"/>
      <protection locked="0"/>
    </xf>
    <xf numFmtId="166" fontId="3" fillId="2" borderId="4" xfId="0" applyNumberFormat="1" applyFont="1" applyFill="1" applyBorder="1" applyAlignment="1" applyProtection="1">
      <alignment vertical="center"/>
      <protection locked="0"/>
    </xf>
    <xf numFmtId="3" fontId="3" fillId="0" borderId="13" xfId="0" applyNumberFormat="1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0" fontId="3" fillId="0" borderId="12" xfId="3" applyNumberFormat="1" applyFont="1" applyFill="1" applyBorder="1" applyProtection="1"/>
    <xf numFmtId="10" fontId="3" fillId="0" borderId="6" xfId="3" applyNumberFormat="1" applyFont="1" applyFill="1" applyBorder="1" applyProtection="1"/>
    <xf numFmtId="10" fontId="3" fillId="0" borderId="3" xfId="3" applyNumberFormat="1" applyFont="1" applyFill="1" applyBorder="1" applyProtection="1"/>
    <xf numFmtId="3" fontId="3" fillId="2" borderId="0" xfId="0" applyNumberFormat="1" applyFont="1" applyFill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 applyProtection="1">
      <alignment vertical="center"/>
      <protection locked="0"/>
    </xf>
    <xf numFmtId="166" fontId="3" fillId="2" borderId="6" xfId="0" applyNumberFormat="1" applyFont="1" applyFill="1" applyBorder="1" applyAlignment="1" applyProtection="1">
      <alignment vertical="center"/>
      <protection locked="0"/>
    </xf>
    <xf numFmtId="166" fontId="3" fillId="2" borderId="3" xfId="0" applyNumberFormat="1" applyFont="1" applyFill="1" applyBorder="1" applyAlignment="1" applyProtection="1">
      <alignment vertical="center"/>
      <protection locked="0"/>
    </xf>
    <xf numFmtId="165" fontId="3" fillId="0" borderId="7" xfId="0" applyNumberFormat="1" applyFont="1" applyBorder="1" applyAlignment="1">
      <alignment horizontal="center" vertical="center" wrapText="1"/>
    </xf>
    <xf numFmtId="10" fontId="0" fillId="0" borderId="0" xfId="0" applyNumberFormat="1"/>
    <xf numFmtId="3" fontId="3" fillId="0" borderId="15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0" fontId="3" fillId="0" borderId="8" xfId="0" applyNumberFormat="1" applyFont="1" applyBorder="1" applyAlignment="1">
      <alignment vertical="center"/>
    </xf>
    <xf numFmtId="10" fontId="3" fillId="2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 wrapText="1"/>
    </xf>
    <xf numFmtId="3" fontId="0" fillId="0" borderId="10" xfId="0" applyNumberFormat="1" applyBorder="1"/>
    <xf numFmtId="0" fontId="3" fillId="0" borderId="7" xfId="0" applyFont="1" applyBorder="1"/>
    <xf numFmtId="10" fontId="2" fillId="0" borderId="7" xfId="3" applyNumberFormat="1" applyFont="1" applyBorder="1" applyProtection="1"/>
    <xf numFmtId="0" fontId="13" fillId="3" borderId="0" xfId="0" applyFont="1" applyFill="1"/>
    <xf numFmtId="10" fontId="14" fillId="0" borderId="3" xfId="4" applyNumberFormat="1" applyFont="1" applyBorder="1"/>
    <xf numFmtId="10" fontId="14" fillId="0" borderId="4" xfId="4" applyNumberFormat="1" applyFont="1" applyBorder="1"/>
    <xf numFmtId="10" fontId="3" fillId="0" borderId="8" xfId="3" applyNumberFormat="1" applyFont="1" applyFill="1" applyBorder="1" applyAlignment="1" applyProtection="1">
      <alignment horizontal="center" vertical="center"/>
    </xf>
    <xf numFmtId="10" fontId="3" fillId="0" borderId="9" xfId="3" applyNumberFormat="1" applyFont="1" applyFill="1" applyBorder="1" applyAlignment="1" applyProtection="1">
      <alignment horizontal="center" vertical="center"/>
    </xf>
    <xf numFmtId="10" fontId="3" fillId="0" borderId="10" xfId="3" applyNumberFormat="1" applyFont="1" applyFill="1" applyBorder="1" applyAlignment="1" applyProtection="1">
      <alignment horizontal="center" vertical="center"/>
    </xf>
    <xf numFmtId="10" fontId="14" fillId="0" borderId="8" xfId="4" applyNumberFormat="1" applyFont="1" applyBorder="1"/>
    <xf numFmtId="10" fontId="3" fillId="0" borderId="7" xfId="0" applyNumberFormat="1" applyFont="1" applyBorder="1" applyAlignment="1">
      <alignment vertical="center"/>
    </xf>
    <xf numFmtId="170" fontId="14" fillId="0" borderId="3" xfId="4" applyNumberFormat="1" applyFont="1" applyBorder="1"/>
    <xf numFmtId="170" fontId="14" fillId="0" borderId="8" xfId="4" applyNumberFormat="1" applyFont="1" applyBorder="1"/>
    <xf numFmtId="0" fontId="15" fillId="3" borderId="0" xfId="0" applyFont="1" applyFill="1"/>
  </cellXfs>
  <cellStyles count="5">
    <cellStyle name="Comma" xfId="1" builtinId="3"/>
    <cellStyle name="Normal" xfId="0" builtinId="0"/>
    <cellStyle name="Normal 2" xfId="2" xr:uid="{00000000-0005-0000-0000-000002000000}"/>
    <cellStyle name="Percent" xfId="3" builtinId="5"/>
    <cellStyle name="Percent 2 2" xfId="4" xr:uid="{E6B0E2E7-FA94-40EE-8CF3-84CB8CF8E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S23"/>
  <sheetViews>
    <sheetView showGridLines="0" tabSelected="1" zoomScaleNormal="100" workbookViewId="0">
      <selection activeCell="J15" sqref="J15"/>
    </sheetView>
  </sheetViews>
  <sheetFormatPr defaultColWidth="9.1796875" defaultRowHeight="14.5" x14ac:dyDescent="0.35"/>
  <cols>
    <col min="1" max="1" width="1.54296875" customWidth="1"/>
    <col min="2" max="2" width="36.54296875" customWidth="1"/>
    <col min="3" max="17" width="10.453125" customWidth="1"/>
    <col min="18" max="18" width="1.54296875" customWidth="1"/>
    <col min="19" max="19" width="10.453125" customWidth="1"/>
  </cols>
  <sheetData>
    <row r="1" spans="1:19" s="19" customFormat="1" ht="21" x14ac:dyDescent="0.5">
      <c r="A1" s="18" t="s">
        <v>0</v>
      </c>
      <c r="C1" s="132" t="s">
        <v>46</v>
      </c>
      <c r="G1" s="20"/>
    </row>
    <row r="3" spans="1:19" x14ac:dyDescent="0.35">
      <c r="B3" s="21" t="s">
        <v>1</v>
      </c>
      <c r="C3" s="22"/>
      <c r="D3" s="22"/>
      <c r="E3" s="22"/>
      <c r="F3" s="22"/>
      <c r="G3" s="22"/>
      <c r="H3" s="23"/>
      <c r="I3" s="22"/>
      <c r="J3" s="23"/>
      <c r="K3" s="22"/>
    </row>
    <row r="4" spans="1:19" x14ac:dyDescent="0.35">
      <c r="B4" s="22"/>
      <c r="C4" s="22"/>
      <c r="D4" s="22"/>
      <c r="E4" s="22"/>
      <c r="F4" s="22"/>
      <c r="G4" s="22"/>
      <c r="H4" s="23"/>
      <c r="I4" s="22"/>
      <c r="J4" s="23"/>
      <c r="K4" s="22"/>
    </row>
    <row r="5" spans="1:19" x14ac:dyDescent="0.35">
      <c r="B5" s="22"/>
      <c r="C5" s="24" t="s">
        <v>2</v>
      </c>
      <c r="D5" s="25"/>
      <c r="E5" s="25"/>
      <c r="F5" s="25"/>
      <c r="G5" s="25"/>
      <c r="H5" s="24" t="s">
        <v>3</v>
      </c>
      <c r="I5" s="25"/>
      <c r="J5" s="26"/>
      <c r="K5" s="25"/>
      <c r="L5" s="27"/>
      <c r="M5" s="28" t="s">
        <v>4</v>
      </c>
      <c r="N5" s="29"/>
      <c r="O5" s="29"/>
      <c r="P5" s="29"/>
      <c r="Q5" s="27"/>
    </row>
    <row r="6" spans="1:19" x14ac:dyDescent="0.35">
      <c r="B6" s="30"/>
      <c r="C6" s="125" t="s">
        <v>5</v>
      </c>
      <c r="D6" s="126" t="s">
        <v>6</v>
      </c>
      <c r="E6" s="126" t="s">
        <v>7</v>
      </c>
      <c r="F6" s="127" t="s">
        <v>8</v>
      </c>
      <c r="G6" s="31" t="s">
        <v>9</v>
      </c>
      <c r="H6" s="32" t="s">
        <v>5</v>
      </c>
      <c r="I6" s="33" t="s">
        <v>6</v>
      </c>
      <c r="J6" s="33" t="s">
        <v>7</v>
      </c>
      <c r="K6" s="34" t="s">
        <v>8</v>
      </c>
      <c r="L6" s="31" t="s">
        <v>9</v>
      </c>
      <c r="M6" s="125" t="s">
        <v>5</v>
      </c>
      <c r="N6" s="126" t="s">
        <v>6</v>
      </c>
      <c r="O6" s="126" t="s">
        <v>7</v>
      </c>
      <c r="P6" s="127" t="s">
        <v>8</v>
      </c>
      <c r="Q6" s="35" t="s">
        <v>9</v>
      </c>
      <c r="S6" s="36" t="s">
        <v>10</v>
      </c>
    </row>
    <row r="7" spans="1:19" ht="15" customHeight="1" x14ac:dyDescent="0.35">
      <c r="B7" s="115" t="str">
        <f t="array" ref="B7">L_ContractTypes</f>
        <v>RMW Access Letters Contract 2024</v>
      </c>
      <c r="C7" s="128">
        <v>0.45413399999999998</v>
      </c>
      <c r="D7" s="123">
        <v>0.35742000000000002</v>
      </c>
      <c r="E7" s="123">
        <v>0.188446</v>
      </c>
      <c r="F7" s="123">
        <v>0</v>
      </c>
      <c r="G7" s="129">
        <f>SUM(C7:F7)</f>
        <v>1</v>
      </c>
      <c r="H7" s="123">
        <v>0.39167800000000003</v>
      </c>
      <c r="I7" s="123">
        <v>0.33591500000000002</v>
      </c>
      <c r="J7" s="123">
        <v>0.27240700000000001</v>
      </c>
      <c r="K7" s="124">
        <v>0</v>
      </c>
      <c r="L7" s="116">
        <f>SUM(H7:K7)</f>
        <v>1</v>
      </c>
      <c r="M7" s="131">
        <v>0.213005</v>
      </c>
      <c r="N7" s="130">
        <v>0.334729</v>
      </c>
      <c r="O7" s="130">
        <v>0.45226499999999997</v>
      </c>
      <c r="P7" s="130">
        <v>0</v>
      </c>
      <c r="Q7" s="129">
        <f>SUM(M7:P7)</f>
        <v>0.99999899999999986</v>
      </c>
      <c r="S7" s="117">
        <v>3.5999999999999997E-2</v>
      </c>
    </row>
    <row r="8" spans="1:19" x14ac:dyDescent="0.35">
      <c r="B8" s="30"/>
      <c r="C8" s="37"/>
      <c r="D8" s="37"/>
      <c r="E8" s="37"/>
      <c r="F8" s="37"/>
      <c r="G8" s="22"/>
      <c r="H8" s="22"/>
      <c r="I8" s="22"/>
      <c r="J8" s="22"/>
      <c r="K8" s="22"/>
    </row>
    <row r="9" spans="1:19" x14ac:dyDescent="0.35">
      <c r="B9" s="30"/>
      <c r="C9" s="37"/>
      <c r="D9" s="37"/>
      <c r="E9" s="37"/>
      <c r="F9" s="37"/>
      <c r="G9" s="22"/>
      <c r="H9" s="38" t="s">
        <v>44</v>
      </c>
      <c r="J9" s="22"/>
      <c r="K9" s="22"/>
    </row>
    <row r="10" spans="1:19" ht="6" customHeight="1" x14ac:dyDescent="0.35">
      <c r="B10" s="30"/>
      <c r="C10" s="37"/>
      <c r="D10" s="37"/>
      <c r="E10" s="37"/>
      <c r="F10" s="37"/>
      <c r="G10" s="22"/>
      <c r="H10" s="38"/>
      <c r="J10" s="22"/>
      <c r="K10" s="22"/>
    </row>
    <row r="11" spans="1:19" x14ac:dyDescent="0.35">
      <c r="B11" s="39" t="s">
        <v>11</v>
      </c>
      <c r="C11" s="22"/>
      <c r="D11" s="22"/>
      <c r="E11" s="22"/>
      <c r="F11" s="22"/>
      <c r="G11" s="22"/>
      <c r="H11" s="22"/>
      <c r="J11" s="23"/>
      <c r="K11" s="38"/>
    </row>
    <row r="12" spans="1:19" ht="6" customHeight="1" x14ac:dyDescent="0.35">
      <c r="B12" s="22"/>
      <c r="C12" s="22"/>
      <c r="D12" s="22"/>
      <c r="E12" s="22"/>
      <c r="F12" s="22"/>
      <c r="G12" s="22"/>
      <c r="H12" s="22"/>
      <c r="J12" s="23"/>
      <c r="K12" s="38"/>
    </row>
    <row r="13" spans="1:19" x14ac:dyDescent="0.35">
      <c r="B13" s="39"/>
      <c r="C13" s="40" t="s">
        <v>5</v>
      </c>
      <c r="D13" s="25" t="s">
        <v>6</v>
      </c>
      <c r="E13" s="25" t="s">
        <v>7</v>
      </c>
      <c r="F13" s="41" t="s">
        <v>8</v>
      </c>
      <c r="G13" s="22"/>
      <c r="H13" s="22"/>
      <c r="J13" s="23"/>
      <c r="K13" s="38"/>
    </row>
    <row r="14" spans="1:19" x14ac:dyDescent="0.35">
      <c r="B14" s="42" t="s">
        <v>12</v>
      </c>
      <c r="C14" s="5">
        <v>-5.7500000000000002E-2</v>
      </c>
      <c r="D14" s="1">
        <v>-5.0000000000000001E-3</v>
      </c>
      <c r="E14" s="1">
        <v>8.9399999999999993E-2</v>
      </c>
      <c r="F14" s="2">
        <v>4.58E-2</v>
      </c>
      <c r="G14" s="38"/>
      <c r="H14" s="38" t="s">
        <v>45</v>
      </c>
      <c r="J14" s="38"/>
    </row>
    <row r="15" spans="1:19" x14ac:dyDescent="0.35">
      <c r="B15" s="44" t="s">
        <v>13</v>
      </c>
      <c r="C15" s="6">
        <v>-5.6800000000000003E-2</v>
      </c>
      <c r="D15" s="3">
        <v>-1.5299999999999999E-2</v>
      </c>
      <c r="E15" s="3">
        <v>9.0899999999999995E-2</v>
      </c>
      <c r="F15" s="4">
        <v>6.3600000000000004E-2</v>
      </c>
      <c r="G15" s="38"/>
      <c r="H15" s="30"/>
      <c r="J15" s="38"/>
    </row>
    <row r="16" spans="1:19" x14ac:dyDescent="0.35">
      <c r="B16" s="22"/>
      <c r="C16" s="22"/>
      <c r="D16" s="22"/>
      <c r="E16" s="22"/>
      <c r="F16" s="22"/>
      <c r="G16" s="22"/>
      <c r="H16" s="23"/>
      <c r="J16" s="22"/>
    </row>
    <row r="17" spans="2:10" x14ac:dyDescent="0.35">
      <c r="B17" s="21" t="s">
        <v>14</v>
      </c>
      <c r="C17" s="22"/>
      <c r="D17" s="22"/>
      <c r="E17" s="22"/>
      <c r="F17" s="22"/>
      <c r="G17" s="22"/>
      <c r="H17" s="22"/>
      <c r="J17" s="23"/>
    </row>
    <row r="18" spans="2:10" ht="6" customHeight="1" x14ac:dyDescent="0.35">
      <c r="B18" s="22"/>
      <c r="C18" s="22"/>
      <c r="D18" s="22"/>
      <c r="E18" s="22"/>
      <c r="F18" s="22"/>
      <c r="G18" s="22"/>
      <c r="H18" s="22"/>
      <c r="J18" s="23"/>
    </row>
    <row r="19" spans="2:10" x14ac:dyDescent="0.35">
      <c r="B19" s="22"/>
      <c r="C19" s="40" t="s">
        <v>5</v>
      </c>
      <c r="D19" s="25" t="s">
        <v>6</v>
      </c>
      <c r="E19" s="25" t="s">
        <v>7</v>
      </c>
      <c r="F19" s="41" t="s">
        <v>8</v>
      </c>
      <c r="G19" s="22"/>
      <c r="H19" s="23"/>
      <c r="J19" s="22"/>
    </row>
    <row r="20" spans="2:10" ht="15" customHeight="1" x14ac:dyDescent="0.35">
      <c r="B20" s="118" t="str">
        <f t="array" ref="B20">L_ContractTypes</f>
        <v>RMW Access Letters Contract 2024</v>
      </c>
      <c r="C20" s="6">
        <v>-5.7410575484171993E-2</v>
      </c>
      <c r="D20" s="3">
        <v>-6.3158178757550679E-3</v>
      </c>
      <c r="E20" s="3">
        <v>8.9591623962488598E-2</v>
      </c>
      <c r="F20" s="4">
        <v>4.8073937688198079E-2</v>
      </c>
      <c r="G20" s="38"/>
      <c r="H20" s="38" t="s">
        <v>15</v>
      </c>
      <c r="J20" s="38"/>
    </row>
    <row r="22" spans="2:10" x14ac:dyDescent="0.35">
      <c r="C22" s="112"/>
      <c r="D22" s="112"/>
      <c r="E22" s="112"/>
      <c r="F22" s="112"/>
    </row>
    <row r="23" spans="2:10" x14ac:dyDescent="0.35">
      <c r="C23" s="112"/>
      <c r="D23" s="112"/>
      <c r="E23" s="112"/>
      <c r="F23" s="112"/>
    </row>
  </sheetData>
  <sheetProtection sheet="1" objects="1" scenarios="1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U39"/>
  <sheetViews>
    <sheetView showGridLines="0" zoomScale="80" zoomScaleNormal="80" workbookViewId="0">
      <selection activeCell="C1" sqref="C1"/>
    </sheetView>
  </sheetViews>
  <sheetFormatPr defaultColWidth="9.1796875" defaultRowHeight="14.5" outlineLevelRow="1" x14ac:dyDescent="0.35"/>
  <cols>
    <col min="1" max="1" width="2.54296875" customWidth="1"/>
    <col min="2" max="2" width="36.453125" customWidth="1"/>
    <col min="3" max="7" width="13" customWidth="1"/>
    <col min="8" max="8" width="2.81640625" customWidth="1"/>
    <col min="9" max="13" width="13" customWidth="1"/>
    <col min="14" max="14" width="2.81640625" customWidth="1"/>
    <col min="15" max="19" width="13" customWidth="1"/>
    <col min="20" max="20" width="2.81640625" customWidth="1"/>
    <col min="21" max="21" width="11.453125" bestFit="1" customWidth="1"/>
  </cols>
  <sheetData>
    <row r="1" spans="1:21" s="19" customFormat="1" ht="21" x14ac:dyDescent="0.5">
      <c r="A1" s="18" t="s">
        <v>16</v>
      </c>
      <c r="C1" s="122" t="str">
        <f>Inputs!C1</f>
        <v>Published on 01 July 2024</v>
      </c>
    </row>
    <row r="2" spans="1:21" s="22" customFormat="1" x14ac:dyDescent="0.35"/>
    <row r="3" spans="1:21" s="22" customFormat="1" x14ac:dyDescent="0.35"/>
    <row r="4" spans="1:21" s="38" customFormat="1" ht="15" customHeight="1" x14ac:dyDescent="0.35">
      <c r="B4" s="90" t="s">
        <v>17</v>
      </c>
      <c r="D4" s="45"/>
    </row>
    <row r="5" spans="1:21" s="38" customFormat="1" ht="43.5" x14ac:dyDescent="0.35">
      <c r="C5" s="105" t="s">
        <v>2</v>
      </c>
      <c r="D5" s="106" t="s">
        <v>3</v>
      </c>
      <c r="E5" s="106" t="s">
        <v>4</v>
      </c>
      <c r="F5" s="107" t="s">
        <v>18</v>
      </c>
      <c r="G5" s="111" t="s">
        <v>19</v>
      </c>
      <c r="I5" s="46"/>
    </row>
    <row r="6" spans="1:21" s="38" customFormat="1" ht="15" customHeight="1" x14ac:dyDescent="0.35">
      <c r="B6" s="103" t="s">
        <v>20</v>
      </c>
      <c r="C6" s="95">
        <v>250000</v>
      </c>
      <c r="D6" s="102">
        <v>250000</v>
      </c>
      <c r="E6" s="102">
        <v>250000</v>
      </c>
      <c r="F6" s="108">
        <v>250000</v>
      </c>
      <c r="G6" s="113">
        <f>SUM(C6:F6)</f>
        <v>1000000</v>
      </c>
      <c r="I6" s="38" t="s">
        <v>21</v>
      </c>
    </row>
    <row r="7" spans="1:21" s="38" customFormat="1" ht="15" customHeight="1" x14ac:dyDescent="0.35">
      <c r="B7" s="104" t="s">
        <v>22</v>
      </c>
      <c r="C7" s="109">
        <v>100000</v>
      </c>
      <c r="D7" s="110">
        <v>100000</v>
      </c>
      <c r="E7" s="110">
        <v>100000</v>
      </c>
      <c r="F7" s="96">
        <v>100000</v>
      </c>
      <c r="G7" s="114">
        <f>SUM(C7:F7)</f>
        <v>400000</v>
      </c>
      <c r="I7" s="38" t="s">
        <v>23</v>
      </c>
    </row>
    <row r="8" spans="1:21" s="38" customFormat="1" ht="15" customHeight="1" x14ac:dyDescent="0.35"/>
    <row r="9" spans="1:21" s="38" customFormat="1" ht="15" customHeight="1" x14ac:dyDescent="0.35">
      <c r="B9" s="90" t="s">
        <v>24</v>
      </c>
      <c r="D9" s="45"/>
    </row>
    <row r="10" spans="1:21" s="22" customFormat="1" x14ac:dyDescent="0.35">
      <c r="C10" s="53" t="s">
        <v>2</v>
      </c>
      <c r="G10" s="52"/>
      <c r="I10" s="53" t="s">
        <v>3</v>
      </c>
      <c r="J10" s="54"/>
      <c r="K10" s="54"/>
      <c r="L10" s="54"/>
      <c r="N10" s="52"/>
      <c r="U10" s="52"/>
    </row>
    <row r="11" spans="1:21" s="38" customFormat="1" x14ac:dyDescent="0.35">
      <c r="C11" s="40" t="s">
        <v>5</v>
      </c>
      <c r="D11" s="25" t="s">
        <v>6</v>
      </c>
      <c r="E11" s="25" t="s">
        <v>7</v>
      </c>
      <c r="F11" s="25" t="s">
        <v>8</v>
      </c>
      <c r="G11" s="36" t="s">
        <v>9</v>
      </c>
      <c r="I11" s="40" t="s">
        <v>5</v>
      </c>
      <c r="J11" s="25" t="s">
        <v>6</v>
      </c>
      <c r="K11" s="25" t="s">
        <v>7</v>
      </c>
      <c r="L11" s="25" t="s">
        <v>8</v>
      </c>
      <c r="M11" s="36" t="s">
        <v>9</v>
      </c>
    </row>
    <row r="12" spans="1:21" s="38" customFormat="1" x14ac:dyDescent="0.35">
      <c r="B12" s="42" t="s">
        <v>25</v>
      </c>
      <c r="C12" s="83">
        <v>0.45</v>
      </c>
      <c r="D12" s="84">
        <v>0.35</v>
      </c>
      <c r="E12" s="84">
        <v>0.2</v>
      </c>
      <c r="F12" s="56">
        <v>0</v>
      </c>
      <c r="G12" s="47">
        <f>SUM(C12:F12)</f>
        <v>1</v>
      </c>
      <c r="I12" s="83">
        <v>0.4</v>
      </c>
      <c r="J12" s="84">
        <v>0.35</v>
      </c>
      <c r="K12" s="84">
        <v>0.25</v>
      </c>
      <c r="L12" s="56">
        <v>0</v>
      </c>
      <c r="M12" s="47">
        <f>SUM(I12:L12)</f>
        <v>1</v>
      </c>
    </row>
    <row r="13" spans="1:21" s="38" customFormat="1" x14ac:dyDescent="0.35">
      <c r="B13" s="43" t="s">
        <v>26</v>
      </c>
      <c r="C13" s="99"/>
      <c r="D13" s="94"/>
      <c r="E13" s="94"/>
      <c r="F13" s="88"/>
      <c r="G13" s="97">
        <f>C6</f>
        <v>250000</v>
      </c>
      <c r="I13" s="99"/>
      <c r="J13" s="94"/>
      <c r="K13" s="94"/>
      <c r="L13" s="88"/>
      <c r="M13" s="97">
        <f>D6</f>
        <v>250000</v>
      </c>
    </row>
    <row r="14" spans="1:21" s="38" customFormat="1" x14ac:dyDescent="0.35">
      <c r="B14" s="43" t="s">
        <v>27</v>
      </c>
      <c r="C14" s="99"/>
      <c r="D14" s="94"/>
      <c r="E14" s="94"/>
      <c r="F14" s="88"/>
      <c r="G14" s="98">
        <f>C7</f>
        <v>100000</v>
      </c>
      <c r="I14" s="99"/>
      <c r="J14" s="94"/>
      <c r="K14" s="94"/>
      <c r="L14" s="88"/>
      <c r="M14" s="98">
        <f>D7</f>
        <v>100000</v>
      </c>
    </row>
    <row r="15" spans="1:21" s="38" customFormat="1" x14ac:dyDescent="0.35">
      <c r="B15" s="44" t="s">
        <v>28</v>
      </c>
      <c r="C15" s="100"/>
      <c r="D15" s="101"/>
      <c r="E15" s="101"/>
      <c r="F15" s="89"/>
      <c r="G15" s="61">
        <f>IF(G13=0,0,G14/G13*100)</f>
        <v>40</v>
      </c>
      <c r="I15" s="100"/>
      <c r="J15" s="101"/>
      <c r="K15" s="101"/>
      <c r="L15" s="89"/>
      <c r="M15" s="61">
        <f>IF(M13=0,0,M14/M13*100)</f>
        <v>40</v>
      </c>
    </row>
    <row r="16" spans="1:21" s="22" customFormat="1" x14ac:dyDescent="0.35">
      <c r="B16" s="43" t="s">
        <v>29</v>
      </c>
      <c r="C16" s="57">
        <f ca="1">OFFSET(St_EWProfile,S_ContractType,0)</f>
        <v>0.45413399999999998</v>
      </c>
      <c r="D16" s="50">
        <f ca="1">OFFSET(St_EWProfile,S_ContractType,1)</f>
        <v>0.35742000000000002</v>
      </c>
      <c r="E16" s="50">
        <f ca="1">OFFSET(St_EWProfile,S_ContractType,2)</f>
        <v>0.188446</v>
      </c>
      <c r="F16" s="51">
        <f ca="1">OFFSET(St_EWProfile,S_ContractType,3)</f>
        <v>0</v>
      </c>
      <c r="G16" s="58">
        <f ca="1">SUM(C16:F16)</f>
        <v>1</v>
      </c>
      <c r="I16" s="57">
        <f ca="1">OFFSET(St_SProfile,S_ContractType,0)</f>
        <v>0.39167800000000003</v>
      </c>
      <c r="J16" s="50">
        <f ca="1">OFFSET(St_SProfile,S_ContractType,1)</f>
        <v>0.33591500000000002</v>
      </c>
      <c r="K16" s="50">
        <f ca="1">OFFSET(St_SProfile,S_ContractType,2)</f>
        <v>0.27240700000000001</v>
      </c>
      <c r="L16" s="51">
        <f ca="1">OFFSET(St_SProfile,S_ContractType,3)</f>
        <v>0</v>
      </c>
      <c r="M16" s="59">
        <f ca="1">SUM(I16:L16)</f>
        <v>1</v>
      </c>
    </row>
    <row r="17" spans="2:21" s="38" customFormat="1" x14ac:dyDescent="0.35">
      <c r="B17" s="44" t="s">
        <v>30</v>
      </c>
      <c r="C17" s="91">
        <f ca="1">OFFSET(St_WAPVP,S_ContractType,1)</f>
        <v>-5.7410575484171993E-2</v>
      </c>
      <c r="D17" s="64">
        <f ca="1">OFFSET(St_WAPVP,S_ContractType,2)</f>
        <v>-6.3158178757550679E-3</v>
      </c>
      <c r="E17" s="64">
        <f ca="1">OFFSET(St_WAPVP,S_ContractType,3)</f>
        <v>8.9591623962488598E-2</v>
      </c>
      <c r="F17" s="92">
        <f ca="1">OFFSET(St_WAPVP,S_ContractType,4)</f>
        <v>4.8073937688198079E-2</v>
      </c>
      <c r="G17" s="93"/>
      <c r="I17" s="91">
        <f ca="1">OFFSET(St_WAPVP,S_ContractType,1)</f>
        <v>-5.7410575484171993E-2</v>
      </c>
      <c r="J17" s="64">
        <f ca="1">OFFSET(St_WAPVP,S_ContractType,2)</f>
        <v>-6.3158178757550679E-3</v>
      </c>
      <c r="K17" s="64">
        <f ca="1">OFFSET(St_WAPVP,S_ContractType,3)</f>
        <v>8.9591623962488598E-2</v>
      </c>
      <c r="L17" s="92">
        <f ca="1">OFFSET(St_WAPVP,S_ContractType,4)</f>
        <v>4.8073937688198079E-2</v>
      </c>
      <c r="M17" s="60"/>
      <c r="O17" s="38" t="str">
        <f ca="1">OFFSET(St_ContractTypes,S_ContractType,1)</f>
        <v>Weighted average for letters and large letters formats</v>
      </c>
    </row>
    <row r="18" spans="2:21" s="22" customFormat="1" hidden="1" outlineLevel="1" x14ac:dyDescent="0.35">
      <c r="B18" s="48" t="s">
        <v>31</v>
      </c>
      <c r="C18" s="49">
        <f ca="1">C16*(1-OFFSET(St_Threshold,S_ContractType,0))</f>
        <v>0.43778517599999994</v>
      </c>
      <c r="D18" s="50">
        <f ca="1">D16*(1-OFFSET(St_Threshold,S_ContractType,0))</f>
        <v>0.34455288000000001</v>
      </c>
      <c r="E18" s="50">
        <f ca="1">E16*(1-OFFSET(St_Threshold,S_ContractType,0))</f>
        <v>0.18166194399999999</v>
      </c>
      <c r="F18" s="50">
        <f ca="1">F16*(1-OFFSET(St_Threshold,S_ContractType,0))</f>
        <v>0</v>
      </c>
      <c r="G18" s="58"/>
      <c r="I18" s="49">
        <f ca="1">I16*(1-OFFSET(St_Threshold,S_ContractType,0))</f>
        <v>0.37757759200000002</v>
      </c>
      <c r="J18" s="50">
        <f ca="1">J16*(1-OFFSET(St_Threshold,S_ContractType,0))</f>
        <v>0.32382206000000002</v>
      </c>
      <c r="K18" s="50">
        <f ca="1">K16*(1-OFFSET(St_Threshold,S_ContractType,0))</f>
        <v>0.26260034799999998</v>
      </c>
      <c r="L18" s="50">
        <f ca="1">L16*(1-OFFSET(St_Threshold,S_ContractType,0))</f>
        <v>0</v>
      </c>
      <c r="M18" s="47"/>
    </row>
    <row r="19" spans="2:21" s="22" customFormat="1" hidden="1" outlineLevel="1" x14ac:dyDescent="0.35">
      <c r="B19" s="62" t="s">
        <v>32</v>
      </c>
      <c r="C19" s="63">
        <f ca="1">C16*(1+OFFSET(St_Threshold,S_ContractType,0))</f>
        <v>0.47048282400000002</v>
      </c>
      <c r="D19" s="64">
        <f ca="1">D16*(1+OFFSET(St_Threshold,S_ContractType,0))</f>
        <v>0.37028712000000003</v>
      </c>
      <c r="E19" s="64">
        <f ca="1">E16*(1+OFFSET(St_Threshold,S_ContractType,0))</f>
        <v>0.19523005600000001</v>
      </c>
      <c r="F19" s="64">
        <f ca="1">F16*(1+OFFSET(St_Threshold,S_ContractType,0))</f>
        <v>0</v>
      </c>
      <c r="G19" s="65"/>
      <c r="I19" s="63">
        <f ca="1">I16*(1+OFFSET(St_Threshold,S_ContractType,0))</f>
        <v>0.40577840800000003</v>
      </c>
      <c r="J19" s="64">
        <f ca="1">J16*(1+OFFSET(St_Threshold,S_ContractType,0))</f>
        <v>0.34800794000000002</v>
      </c>
      <c r="K19" s="64">
        <f ca="1">K16*(1+OFFSET(St_Threshold,S_ContractType,0))</f>
        <v>0.28221365200000004</v>
      </c>
      <c r="L19" s="64">
        <f ca="1">L16*(1+OFFSET(St_Threshold,S_ContractType,0))</f>
        <v>0</v>
      </c>
      <c r="M19" s="65"/>
    </row>
    <row r="20" spans="2:21" s="22" customFormat="1" collapsed="1" x14ac:dyDescent="0.35">
      <c r="B20" s="66" t="s">
        <v>33</v>
      </c>
      <c r="C20" s="67">
        <f ca="1">IF(SUM($C$12:$E$12)=0,0,IF(C12&lt;C18,C12-C18,IF(C12&gt;C19,C12-C19,0)))</f>
        <v>0</v>
      </c>
      <c r="D20" s="67">
        <f ca="1">IF(SUM($C$12:$E$12)=0,0,IF(D12&lt;D18,D12-D18,IF(D12&gt;D19,D12-D19,0)))</f>
        <v>0</v>
      </c>
      <c r="E20" s="67">
        <f ca="1">IF(SUM($C$12:$E$12)=0,0,IF(E12&lt;E18,E12-E18,IF(E12&gt;E19,E12-E19,0)))</f>
        <v>4.7699439999999982E-3</v>
      </c>
      <c r="F20" s="67">
        <f ca="1">IF(F12&lt;F18,F12-F18,IF(F12&gt;F19,F12-F19,0))</f>
        <v>0</v>
      </c>
      <c r="G20" s="47"/>
      <c r="I20" s="68">
        <f ca="1">IF(SUM($I$12:$K$12)=0,0,IF(I12&lt;I18,I12-I18,IF(I12&gt;I19,I12-I19,0)))</f>
        <v>0</v>
      </c>
      <c r="J20" s="67">
        <f ca="1">IF(SUM($I$12:$K$12)=0,0,IF(J12&lt;J18,J12-J18,IF(J12&gt;J19,J12-J19,0)))</f>
        <v>1.9920599999999622E-3</v>
      </c>
      <c r="K20" s="67">
        <f ca="1">IF(SUM($I$12:$K$12)=0,0,IF(K12&lt;K18,K12-K18,IF(K12&gt;K19,K12-K19,0)))</f>
        <v>-1.2600347999999983E-2</v>
      </c>
      <c r="L20" s="67">
        <f ca="1">IF(L12&lt;L18,L12-L18,IF(L12&gt;L19,L12-L19,0))</f>
        <v>0</v>
      </c>
      <c r="M20" s="47"/>
    </row>
    <row r="21" spans="2:21" s="22" customFormat="1" x14ac:dyDescent="0.35">
      <c r="B21" s="69" t="s">
        <v>34</v>
      </c>
      <c r="C21" s="70">
        <f ca="1">IF(AND(C17&lt;0,C20&lt;0),0,IF(C17&lt;0,C20*$G$13*-1,C20*$G$13))</f>
        <v>0</v>
      </c>
      <c r="D21" s="70">
        <f ca="1">IF(AND(D17&lt;0,D20&lt;0),0,IF(D17&lt;0,D20*$G$13*-1,D20*$G$13))</f>
        <v>0</v>
      </c>
      <c r="E21" s="70">
        <f ca="1">IF(AND(E17&lt;0,E20&lt;0),0,IF(E17&lt;0,E20*$G$13*-1,E20*$G$13))</f>
        <v>1192.4859999999996</v>
      </c>
      <c r="F21" s="70">
        <f ca="1">IF(AND(F17&lt;0,F20&lt;0),0,IF(F17&lt;0,F20*$G$13*-1,F20*$G$13))</f>
        <v>0</v>
      </c>
      <c r="G21" s="71">
        <f ca="1">SUM(C21:F21)</f>
        <v>1192.4859999999996</v>
      </c>
      <c r="I21" s="72">
        <f ca="1">IF(AND(I17&lt;0,I20&lt;0),0,IF(I17&lt;0,I20*$M$13*-1,I20*$M$13))</f>
        <v>0</v>
      </c>
      <c r="J21" s="70">
        <f ca="1">IF(AND(J17&lt;0,J20&lt;0),0,IF(J17&lt;0,J20*$M$13*-1,J20*$M$13))</f>
        <v>-498.01499999999055</v>
      </c>
      <c r="K21" s="70">
        <f ca="1">IF(AND(K17&lt;0,K20&lt;0),0,IF(K17&lt;0,K20*$M$13*-1,K20*$M$13))</f>
        <v>-3150.0869999999959</v>
      </c>
      <c r="L21" s="70">
        <f ca="1">IF(AND(L17&lt;0,L20&lt;0),0,IF(L17&lt;0,L20*$M$13*-1,L20*$M$13))</f>
        <v>0</v>
      </c>
      <c r="M21" s="71">
        <f ca="1">SUM(I21:L21)</f>
        <v>-3648.1019999999862</v>
      </c>
    </row>
    <row r="22" spans="2:21" s="22" customFormat="1" x14ac:dyDescent="0.35">
      <c r="B22" s="73" t="s">
        <v>35</v>
      </c>
      <c r="C22" s="74">
        <f ca="1">$G$15*ABS(C17)/100*C21</f>
        <v>0</v>
      </c>
      <c r="D22" s="74">
        <f ca="1">$G$15*ABS(D17)/100*D21</f>
        <v>0</v>
      </c>
      <c r="E22" s="74">
        <f ca="1">$G$15*ABS(E17)/100*E21</f>
        <v>42.734702917012861</v>
      </c>
      <c r="F22" s="74">
        <f ca="1">$G$15*ABS(F17)/100*F21</f>
        <v>0</v>
      </c>
      <c r="G22" s="75">
        <f ca="1">IF(SUM(C22:F22)&lt;0,0,SUM(C22:F22))</f>
        <v>42.734702917012861</v>
      </c>
      <c r="I22" s="76">
        <f ca="1">$M$15*ABS(I17)/100*I21</f>
        <v>0</v>
      </c>
      <c r="J22" s="74">
        <f ca="1">$M$15*ABS(J17)/100*J21</f>
        <v>-1.2581488157576404</v>
      </c>
      <c r="K22" s="74">
        <f ca="1">$M$15*ABS(K17)/100*K21</f>
        <v>-112.88856398124938</v>
      </c>
      <c r="L22" s="74">
        <f ca="1">$M$15*ABS(L17)/100*L21</f>
        <v>0</v>
      </c>
      <c r="M22" s="75">
        <f ca="1">IF(SUM(I22:L22)&lt;0,0,SUM(I22:L22))</f>
        <v>0</v>
      </c>
    </row>
    <row r="23" spans="2:21" s="22" customFormat="1" x14ac:dyDescent="0.35">
      <c r="B23" s="53"/>
      <c r="C23" s="86"/>
      <c r="D23" s="86"/>
      <c r="E23" s="86"/>
      <c r="F23" s="86"/>
      <c r="G23" s="87"/>
      <c r="I23" s="86"/>
      <c r="J23" s="86"/>
      <c r="K23" s="86"/>
      <c r="L23" s="86"/>
      <c r="M23" s="87"/>
      <c r="O23" s="86"/>
      <c r="P23" s="86"/>
      <c r="Q23" s="86"/>
      <c r="R23" s="86"/>
      <c r="S23" s="87"/>
    </row>
    <row r="24" spans="2:21" s="22" customFormat="1" x14ac:dyDescent="0.35">
      <c r="C24" s="53" t="s">
        <v>4</v>
      </c>
      <c r="E24" s="55"/>
      <c r="F24" s="55"/>
      <c r="G24" s="55"/>
      <c r="I24" s="53"/>
      <c r="M24" s="77"/>
      <c r="N24" s="80"/>
      <c r="P24" s="53"/>
      <c r="S24" s="77"/>
      <c r="U24" s="78"/>
    </row>
    <row r="25" spans="2:21" s="22" customFormat="1" x14ac:dyDescent="0.35">
      <c r="B25" s="81"/>
      <c r="C25" s="40" t="s">
        <v>5</v>
      </c>
      <c r="D25" s="25" t="s">
        <v>6</v>
      </c>
      <c r="E25" s="25" t="s">
        <v>7</v>
      </c>
      <c r="F25" s="25" t="s">
        <v>8</v>
      </c>
      <c r="G25" s="36" t="s">
        <v>9</v>
      </c>
      <c r="M25" s="85"/>
      <c r="S25" s="85"/>
      <c r="U25" s="85"/>
    </row>
    <row r="26" spans="2:21" s="22" customFormat="1" x14ac:dyDescent="0.35">
      <c r="B26" s="42" t="s">
        <v>25</v>
      </c>
      <c r="C26" s="83">
        <v>0.25</v>
      </c>
      <c r="D26" s="84">
        <v>0.3</v>
      </c>
      <c r="E26" s="84">
        <v>0.45</v>
      </c>
      <c r="F26" s="56">
        <v>0</v>
      </c>
      <c r="G26" s="47">
        <f>SUM(C26:F26)</f>
        <v>1</v>
      </c>
    </row>
    <row r="27" spans="2:21" s="22" customFormat="1" x14ac:dyDescent="0.35">
      <c r="B27" s="43" t="s">
        <v>26</v>
      </c>
      <c r="C27" s="99"/>
      <c r="D27" s="94"/>
      <c r="E27" s="94"/>
      <c r="F27" s="88"/>
      <c r="G27" s="97">
        <f>E6</f>
        <v>250000</v>
      </c>
      <c r="I27" s="82"/>
      <c r="O27" s="82"/>
    </row>
    <row r="28" spans="2:21" s="22" customFormat="1" x14ac:dyDescent="0.35">
      <c r="B28" s="43" t="s">
        <v>27</v>
      </c>
      <c r="C28" s="99"/>
      <c r="D28" s="94"/>
      <c r="E28" s="94"/>
      <c r="F28" s="88"/>
      <c r="G28" s="98">
        <f>E7</f>
        <v>100000</v>
      </c>
    </row>
    <row r="29" spans="2:21" s="22" customFormat="1" x14ac:dyDescent="0.35">
      <c r="B29" s="44" t="s">
        <v>28</v>
      </c>
      <c r="C29" s="100"/>
      <c r="D29" s="101"/>
      <c r="E29" s="101"/>
      <c r="F29" s="89"/>
      <c r="G29" s="61">
        <f>IF(G27=0,0,G28/G27*100)</f>
        <v>40</v>
      </c>
    </row>
    <row r="30" spans="2:21" s="22" customFormat="1" x14ac:dyDescent="0.35">
      <c r="B30" s="43" t="s">
        <v>29</v>
      </c>
      <c r="C30" s="57">
        <f ca="1">OFFSET(ST_NIProfile,S_ContractType,0)</f>
        <v>0.213005</v>
      </c>
      <c r="D30" s="50">
        <f ca="1">OFFSET(ST_NIProfile,S_ContractType,1)</f>
        <v>0.334729</v>
      </c>
      <c r="E30" s="50">
        <f ca="1">OFFSET(ST_NIProfile,S_ContractType,2)</f>
        <v>0.45226499999999997</v>
      </c>
      <c r="F30" s="51">
        <f ca="1">OFFSET(ST_NIProfile,S_ContractType,3)</f>
        <v>0</v>
      </c>
      <c r="G30" s="59">
        <f ca="1">SUM(C30:F30)</f>
        <v>0.99999899999999986</v>
      </c>
    </row>
    <row r="31" spans="2:21" s="22" customFormat="1" x14ac:dyDescent="0.35">
      <c r="B31" s="44" t="s">
        <v>30</v>
      </c>
      <c r="C31" s="91">
        <f ca="1">OFFSET(St_WAPVP,S_ContractType,1)</f>
        <v>-5.7410575484171993E-2</v>
      </c>
      <c r="D31" s="64">
        <f ca="1">OFFSET(St_WAPVP,S_ContractType,2)</f>
        <v>-6.3158178757550679E-3</v>
      </c>
      <c r="E31" s="64">
        <f ca="1">OFFSET(St_WAPVP,S_ContractType,3)</f>
        <v>8.9591623962488598E-2</v>
      </c>
      <c r="F31" s="92">
        <f ca="1">OFFSET(St_WAPVP,S_ContractType,4)</f>
        <v>4.8073937688198079E-2</v>
      </c>
      <c r="G31" s="60"/>
      <c r="I31" s="38" t="str">
        <f ca="1">OFFSET(St_ContractTypes,S_ContractType,1)</f>
        <v>Weighted average for letters and large letters formats</v>
      </c>
    </row>
    <row r="32" spans="2:21" s="22" customFormat="1" hidden="1" outlineLevel="1" x14ac:dyDescent="0.35">
      <c r="B32" s="48" t="s">
        <v>31</v>
      </c>
      <c r="C32" s="49">
        <f ca="1">C30*(1-OFFSET(St_Threshold,S_ContractType,0))</f>
        <v>0.20533682</v>
      </c>
      <c r="D32" s="50">
        <f ca="1">D30*(1-OFFSET(St_Threshold,S_ContractType,0))</f>
        <v>0.32267875600000001</v>
      </c>
      <c r="E32" s="50">
        <f ca="1">E30*(1-OFFSET(St_Threshold,S_ContractType,0))</f>
        <v>0.43598345999999993</v>
      </c>
      <c r="F32" s="50">
        <f ca="1">F30*(1-OFFSET(St_Threshold,S_ContractType,0))</f>
        <v>0</v>
      </c>
      <c r="G32" s="47"/>
    </row>
    <row r="33" spans="2:7" s="22" customFormat="1" hidden="1" outlineLevel="1" x14ac:dyDescent="0.35">
      <c r="B33" s="62" t="s">
        <v>32</v>
      </c>
      <c r="C33" s="63">
        <f ca="1">C30*(1+OFFSET(St_Threshold,S_ContractType,0))</f>
        <v>0.22067318</v>
      </c>
      <c r="D33" s="64">
        <f ca="1">D30*(1+OFFSET(St_Threshold,S_ContractType,0))</f>
        <v>0.34677924399999999</v>
      </c>
      <c r="E33" s="64">
        <f ca="1">E30*(1+OFFSET(St_Threshold,S_ContractType,0))</f>
        <v>0.46854654000000001</v>
      </c>
      <c r="F33" s="64">
        <f ca="1">F30*(1+OFFSET(St_Threshold,S_ContractType,0))</f>
        <v>0</v>
      </c>
      <c r="G33" s="65"/>
    </row>
    <row r="34" spans="2:7" s="22" customFormat="1" collapsed="1" x14ac:dyDescent="0.35">
      <c r="B34" s="66" t="s">
        <v>33</v>
      </c>
      <c r="C34" s="68">
        <f ca="1">IF(SUM($C$26:$E$26)=0,0,IF(C26&lt;C32,C26-C32,IF(C26&gt;C33,C26-C33,0)))</f>
        <v>2.9326820000000003E-2</v>
      </c>
      <c r="D34" s="67">
        <f ca="1">IF(SUM($C$26:$E$26)=0,0,IF(D26&lt;D32,D26-D32,IF(D26&gt;D33,D26-D33,0)))</f>
        <v>-2.2678756000000022E-2</v>
      </c>
      <c r="E34" s="67">
        <f ca="1">IF(SUM($C$26:$E$26)=0,0,IF(E26&lt;E32,E26-E32,IF(E26&gt;E33,E26-E33,0)))</f>
        <v>0</v>
      </c>
      <c r="F34" s="67">
        <f ca="1">IF(F26&lt;F32,F26-F32,IF(F26&gt;F33,F26-F33,0))</f>
        <v>0</v>
      </c>
      <c r="G34" s="47"/>
    </row>
    <row r="35" spans="2:7" s="22" customFormat="1" x14ac:dyDescent="0.35">
      <c r="B35" s="69" t="s">
        <v>34</v>
      </c>
      <c r="C35" s="72">
        <f ca="1">IF(AND(C31&lt;0,C34&lt;0),0,IF(C31&lt;0,C34*$G$27*-1,C34*$G$27))</f>
        <v>-7331.7050000000008</v>
      </c>
      <c r="D35" s="70">
        <f ca="1">IF(AND(D31&lt;0,D34&lt;0),0,IF(D31&lt;0,D34*$G$27*-1,D34*$G$27))</f>
        <v>0</v>
      </c>
      <c r="E35" s="70">
        <f ca="1">IF(AND(E31&lt;0,E34&lt;0),0,IF(E31&lt;0,E34*$G$27*-1,E34*$G$27))</f>
        <v>0</v>
      </c>
      <c r="F35" s="70">
        <f ca="1">IF(AND(F31&lt;0,F34&lt;0),0,IF(F31&lt;0,F34*$G$27*-1,F34*$G$27))</f>
        <v>0</v>
      </c>
      <c r="G35" s="71">
        <f ca="1">SUM(C35:F35)</f>
        <v>-7331.7050000000008</v>
      </c>
    </row>
    <row r="36" spans="2:7" x14ac:dyDescent="0.35">
      <c r="B36" s="73" t="s">
        <v>35</v>
      </c>
      <c r="C36" s="76">
        <f ca="1">$G$29*ABS(C31)/100*C35</f>
        <v>-168.36696133207249</v>
      </c>
      <c r="D36" s="74">
        <f ca="1">$G$29*ABS(D31)/100*D35</f>
        <v>0</v>
      </c>
      <c r="E36" s="74">
        <f ca="1">$G$29*ABS(E31)/100*E35</f>
        <v>0</v>
      </c>
      <c r="F36" s="74">
        <f ca="1">$G$29*ABS(F31)/100*F35</f>
        <v>0</v>
      </c>
      <c r="G36" s="75">
        <f ca="1">IF(SUM(C36:F36)&lt;0,0,SUM(C36:F36))</f>
        <v>0</v>
      </c>
    </row>
    <row r="38" spans="2:7" x14ac:dyDescent="0.35">
      <c r="B38" s="120" t="s">
        <v>36</v>
      </c>
      <c r="C38" s="119">
        <f ca="1">IF(C39=0,0,G21+M21+G35)</f>
        <v>-9787.3209999999872</v>
      </c>
      <c r="D38" s="121">
        <f ca="1">IF(C38&lt;0,0,C38/G6)</f>
        <v>0</v>
      </c>
    </row>
    <row r="39" spans="2:7" x14ac:dyDescent="0.35">
      <c r="B39" s="73" t="s">
        <v>37</v>
      </c>
      <c r="C39" s="79">
        <f ca="1">G22+M22+G36</f>
        <v>42.734702917012861</v>
      </c>
    </row>
  </sheetData>
  <sheetProtection sheet="1" objects="1" scenarios="1"/>
  <pageMargins left="0.7" right="0.7" top="0.75" bottom="0.75" header="0.3" footer="0.3"/>
  <pageSetup orientation="portrait" r:id="rId1"/>
  <headerFooter>
    <oddFooter>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G4"/>
  <sheetViews>
    <sheetView showGridLines="0" workbookViewId="0">
      <pane ySplit="3" topLeftCell="A4" activePane="bottomLeft" state="frozen"/>
      <selection pane="bottomLeft" activeCell="C6" sqref="C6"/>
    </sheetView>
  </sheetViews>
  <sheetFormatPr defaultColWidth="9.1796875" defaultRowHeight="13" x14ac:dyDescent="0.3"/>
  <cols>
    <col min="1" max="1" width="1.453125" style="9" customWidth="1"/>
    <col min="2" max="2" width="35.453125" style="9" bestFit="1" customWidth="1"/>
    <col min="3" max="3" width="49.81640625" style="9" bestFit="1" customWidth="1"/>
    <col min="4" max="4" width="5.54296875" style="9" customWidth="1"/>
    <col min="5" max="5" width="21" style="9" bestFit="1" customWidth="1"/>
    <col min="6" max="6" width="9.1796875" style="9"/>
    <col min="7" max="7" width="31.54296875" style="9" bestFit="1" customWidth="1"/>
    <col min="8" max="16384" width="9.1796875" style="9"/>
  </cols>
  <sheetData>
    <row r="1" spans="1:7" s="8" customFormat="1" ht="21" x14ac:dyDescent="0.5">
      <c r="A1" s="7" t="s">
        <v>38</v>
      </c>
    </row>
    <row r="3" spans="1:7" ht="14.5" x14ac:dyDescent="0.35">
      <c r="B3" s="10" t="s">
        <v>39</v>
      </c>
      <c r="C3" s="10" t="s">
        <v>40</v>
      </c>
      <c r="E3" s="11" t="s">
        <v>41</v>
      </c>
      <c r="F3" s="12"/>
      <c r="G3" s="13"/>
    </row>
    <row r="4" spans="1:7" ht="14.5" x14ac:dyDescent="0.35">
      <c r="B4" s="62" t="s">
        <v>47</v>
      </c>
      <c r="C4" s="17" t="s">
        <v>42</v>
      </c>
      <c r="E4" s="14" t="s">
        <v>43</v>
      </c>
      <c r="F4" s="15">
        <v>1</v>
      </c>
      <c r="G4" s="16" t="str">
        <f ca="1">OFFSET(St_ContractTypes,S_ContractType,0)</f>
        <v>RMW Access Letters Contract 2024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722EA6-E60F-46F2-98D6-46E08AC369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35FC5F-9A58-4D9D-8173-CB87CC51A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1FD4E-DF9B-4E72-8571-879D76D8D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Inputs</vt:lpstr>
      <vt:lpstr>Adjustment Calculator</vt:lpstr>
      <vt:lpstr>Lookups</vt:lpstr>
      <vt:lpstr>L_ContractTypes</vt:lpstr>
      <vt:lpstr>S_ContractType</vt:lpstr>
      <vt:lpstr>St_ContractTypes</vt:lpstr>
      <vt:lpstr>St_EWProfile</vt:lpstr>
      <vt:lpstr>ST_NIProfile</vt:lpstr>
      <vt:lpstr>St_SProfile</vt:lpstr>
      <vt:lpstr>St_Threshold</vt:lpstr>
      <vt:lpstr>St_WAPVP</vt:lpstr>
    </vt:vector>
  </TitlesOfParts>
  <Manager/>
  <Company>RMG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Stoker</dc:creator>
  <cp:keywords/>
  <dc:description/>
  <cp:lastModifiedBy>Chloe Spurgeon</cp:lastModifiedBy>
  <cp:revision/>
  <dcterms:created xsi:type="dcterms:W3CDTF">2014-12-23T15:38:32Z</dcterms:created>
  <dcterms:modified xsi:type="dcterms:W3CDTF">2024-07-25T16:44:04Z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2023-10-24T14:01:06Z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480d9404-8c7e-496d-aac7-d6dc75c512ad</vt:lpwstr>
  </property>
  <property fmtid="{D5CDD505-2E9C-101B-9397-08002B2CF9AE}" pid="9" name="MSIP_Label_980f36f3-41a5-4f45-a6a2-e224f336accd_ContentBits">
    <vt:lpwstr>2</vt:lpwstr>
  </property>
</Properties>
</file>