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loe.spurgeon\OneDrive - Royal Mail Group Ltd\Documents\Wholesale\Dynamic Baselines\Q1\Templates &amp; Calulators V2\"/>
    </mc:Choice>
  </mc:AlternateContent>
  <xr:revisionPtr revIDLastSave="0" documentId="13_ncr:1_{99FB157F-66E4-492D-B129-D2BEA88DA8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puts" sheetId="9" r:id="rId1"/>
    <sheet name="Adjusted RM Posting Profile" sheetId="10" r:id="rId2"/>
    <sheet name="NGPP Adjustment Calculator" sheetId="11" r:id="rId3"/>
    <sheet name="Lookups" sheetId="12" state="hidden" r:id="rId4"/>
  </sheets>
  <definedNames>
    <definedName name="L_ContractTypes">Lookups!$B$4:$B$5</definedName>
    <definedName name="S_ContractType">Lookups!$F$4</definedName>
    <definedName name="St_ContractTypes">Lookups!$B$3</definedName>
    <definedName name="St_Threshold">Inputs!$I$5</definedName>
    <definedName name="St_WAPVP">Inputs!$B$19</definedName>
    <definedName name="St_ZPP">Inputs!$B$5</definedName>
    <definedName name="Threshold">'Adjusted RM Posting Profile'!$C$4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1" l="1"/>
  <c r="G1" i="10"/>
  <c r="F21" i="9" l="1"/>
  <c r="E21" i="9"/>
  <c r="D21" i="9"/>
  <c r="C21" i="9"/>
  <c r="B20" i="9" a="1"/>
  <c r="B21" i="9" s="1"/>
  <c r="B6" i="9" a="1"/>
  <c r="B7" i="9" s="1"/>
  <c r="C4" i="10"/>
  <c r="I9" i="11"/>
  <c r="G7" i="9"/>
  <c r="H8" i="10"/>
  <c r="H9" i="10" s="1"/>
  <c r="G8" i="10"/>
  <c r="G9" i="10" s="1"/>
  <c r="F8" i="10"/>
  <c r="D9" i="11" s="1"/>
  <c r="E8" i="10"/>
  <c r="C9" i="11" s="1"/>
  <c r="H7" i="10"/>
  <c r="G7" i="10"/>
  <c r="F7" i="10"/>
  <c r="E7" i="10"/>
  <c r="G4" i="12"/>
  <c r="G6" i="9"/>
  <c r="F14" i="11"/>
  <c r="E14" i="11"/>
  <c r="D14" i="11"/>
  <c r="C14" i="11"/>
  <c r="G8" i="11"/>
  <c r="G5" i="11"/>
  <c r="G14" i="11" l="1"/>
  <c r="F9" i="10"/>
  <c r="F10" i="10" s="1"/>
  <c r="I7" i="10"/>
  <c r="D10" i="11"/>
  <c r="D15" i="11" s="1"/>
  <c r="D18" i="11"/>
  <c r="E9" i="11"/>
  <c r="E10" i="11" s="1"/>
  <c r="E15" i="11" s="1"/>
  <c r="G10" i="10"/>
  <c r="G11" i="10" s="1"/>
  <c r="E11" i="11" s="1"/>
  <c r="E12" i="11" s="1"/>
  <c r="E9" i="10"/>
  <c r="C10" i="11"/>
  <c r="C15" i="11" s="1"/>
  <c r="C18" i="11"/>
  <c r="H10" i="10"/>
  <c r="B6" i="9"/>
  <c r="B20" i="9"/>
  <c r="F9" i="11"/>
  <c r="E13" i="11" l="1"/>
  <c r="E10" i="10"/>
  <c r="F10" i="11"/>
  <c r="F15" i="11" s="1"/>
  <c r="G15" i="11" s="1"/>
  <c r="I10" i="10" l="1"/>
  <c r="E11" i="10" l="1"/>
  <c r="C11" i="11" s="1"/>
  <c r="H11" i="10"/>
  <c r="F11" i="11" s="1"/>
  <c r="F12" i="11" s="1"/>
  <c r="F13" i="11" s="1"/>
  <c r="F11" i="10"/>
  <c r="D11" i="11" s="1"/>
  <c r="D12" i="11" s="1"/>
  <c r="D13" i="11" s="1"/>
  <c r="I11" i="10" l="1"/>
  <c r="G11" i="11"/>
  <c r="C12" i="11"/>
  <c r="C13" i="11" l="1"/>
  <c r="G13" i="11" s="1"/>
  <c r="G16" i="11" s="1"/>
  <c r="G12" i="11"/>
  <c r="E18" i="11" l="1"/>
  <c r="F18" i="11"/>
  <c r="G18" i="11" l="1"/>
  <c r="G19" i="11" s="1"/>
</calcChain>
</file>

<file path=xl/sharedStrings.xml><?xml version="1.0" encoding="utf-8"?>
<sst xmlns="http://schemas.openxmlformats.org/spreadsheetml/2006/main" count="76" uniqueCount="52">
  <si>
    <t>Inputs to calculator</t>
  </si>
  <si>
    <t>Royal Mail zonal profile percentage</t>
  </si>
  <si>
    <t>Zone A</t>
  </si>
  <si>
    <t>Zone B</t>
  </si>
  <si>
    <t>Zone C</t>
  </si>
  <si>
    <t>Zone D</t>
  </si>
  <si>
    <t>TOTAL</t>
  </si>
  <si>
    <t>Tolerance</t>
  </si>
  <si>
    <t>Zonal variance percentage</t>
  </si>
  <si>
    <t>Letters</t>
  </si>
  <si>
    <t>Large Letters</t>
  </si>
  <si>
    <t>Packets</t>
  </si>
  <si>
    <t>Weighted average price variance percentage (WAPVP)</t>
  </si>
  <si>
    <t>Weighted average of zonal variance percentages and Royal Mail's percentage of revenue by format</t>
  </si>
  <si>
    <t>Calculation of adjusted Royal Mail zonal posting profile</t>
  </si>
  <si>
    <t>Contract type</t>
  </si>
  <si>
    <t>Tolerance applied</t>
  </si>
  <si>
    <t>Tolerance only applied to zones with positive WAPVP</t>
  </si>
  <si>
    <t>Adjusted posting profile (preliminary)</t>
  </si>
  <si>
    <t>Royal Mail zonal posting profile adjusted for tolerance</t>
  </si>
  <si>
    <t>Zones with negative WAPVP are re-scaled such that total percentage returns to 100%</t>
  </si>
  <si>
    <t>NGPP Adjustment calculator</t>
  </si>
  <si>
    <t>(Customer) Actual profile percentage</t>
  </si>
  <si>
    <t>Customer's percentage of volume by zone.</t>
  </si>
  <si>
    <t>Customer volume</t>
  </si>
  <si>
    <t>Customer's total volume</t>
  </si>
  <si>
    <t>Customer invoiced amount</t>
  </si>
  <si>
    <t>Customer's total spend</t>
  </si>
  <si>
    <t>Customer average unit rate (AUR)</t>
  </si>
  <si>
    <t>Implied zonal AUR</t>
  </si>
  <si>
    <t>Allowed customer volume</t>
  </si>
  <si>
    <t>Allowed customer invoiced amount</t>
  </si>
  <si>
    <t>Value of customer's spend if posting to RM zonal posting profile adjusted for tolerance. This is the value of posting allowed before an adjustment will be applied.</t>
  </si>
  <si>
    <t>(Customer) Actual posting profile</t>
  </si>
  <si>
    <t>Implied customer invoiced amount</t>
  </si>
  <si>
    <t>Value of posting based on customer's actual posting profile and is the amount that would be paid if the customer were on a zonal contract.</t>
  </si>
  <si>
    <t>ADJUSTMENT</t>
  </si>
  <si>
    <t>Items Adjusted</t>
  </si>
  <si>
    <t>Percentage of Items Adjusted</t>
  </si>
  <si>
    <t>Lookups</t>
  </si>
  <si>
    <t>Contract Types</t>
  </si>
  <si>
    <t>Weighted average message…</t>
  </si>
  <si>
    <t>Key Information</t>
  </si>
  <si>
    <t>Weighted average for letters and large letters formats</t>
  </si>
  <si>
    <t>Selected contract type</t>
  </si>
  <si>
    <t>Weighted average for parcels formats</t>
  </si>
  <si>
    <t>Percentage of volume by zone. RM profile based on MCS and Mailmark data Period 4-12 2023/24 and Period 1-3 2024/25</t>
  </si>
  <si>
    <t>As published at April 2024</t>
  </si>
  <si>
    <t>Tolerance allowed in 2024/2025</t>
  </si>
  <si>
    <t>Published on 01 July 2024</t>
  </si>
  <si>
    <t>RMW Access Letters Contract 2024</t>
  </si>
  <si>
    <t>RMW Wholesale Parcels Contract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</si>
</sst>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&quot;£&quot;#,##0"/>
    <numFmt numFmtId="166" formatCode="0.00\p"/>
    <numFmt numFmtId="167" formatCode="0.0%"/>
    <numFmt numFmtId="168" formatCode="0.000%"/>
  </numFmts>
  <fonts count="14" x14ac:knownFonts="1">
    <font>
      <sz val="10"/>
      <name val="Arial"/>
    </font>
    <font>
      <sz val="10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0" fontId="3" fillId="2" borderId="7" xfId="4" applyNumberFormat="1" applyFont="1" applyFill="1" applyBorder="1" applyAlignment="1" applyProtection="1">
      <alignment vertical="center"/>
      <protection locked="0"/>
    </xf>
    <xf numFmtId="10" fontId="3" fillId="2" borderId="8" xfId="4" applyNumberFormat="1" applyFont="1" applyFill="1" applyBorder="1" applyAlignment="1" applyProtection="1">
      <alignment vertical="center"/>
      <protection locked="0"/>
    </xf>
    <xf numFmtId="10" fontId="3" fillId="2" borderId="0" xfId="4" applyNumberFormat="1" applyFont="1" applyFill="1" applyBorder="1" applyAlignment="1" applyProtection="1">
      <alignment vertical="center"/>
      <protection locked="0"/>
    </xf>
    <xf numFmtId="10" fontId="3" fillId="0" borderId="0" xfId="0" applyNumberFormat="1" applyFont="1" applyAlignment="1">
      <alignment vertical="center"/>
    </xf>
    <xf numFmtId="0" fontId="3" fillId="0" borderId="9" xfId="0" applyFont="1" applyBorder="1" applyAlignment="1">
      <alignment vertical="center"/>
    </xf>
    <xf numFmtId="10" fontId="3" fillId="2" borderId="10" xfId="4" applyNumberFormat="1" applyFont="1" applyFill="1" applyBorder="1" applyAlignment="1" applyProtection="1">
      <alignment vertical="center"/>
      <protection locked="0"/>
    </xf>
    <xf numFmtId="10" fontId="3" fillId="2" borderId="11" xfId="4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0" fontId="3" fillId="2" borderId="1" xfId="4" applyNumberFormat="1" applyFont="1" applyFill="1" applyBorder="1" applyAlignment="1" applyProtection="1">
      <alignment vertical="center"/>
      <protection locked="0"/>
    </xf>
    <xf numFmtId="10" fontId="3" fillId="2" borderId="14" xfId="4" applyNumberFormat="1" applyFont="1" applyFill="1" applyBorder="1" applyAlignment="1" applyProtection="1">
      <alignment vertical="center"/>
      <protection locked="0"/>
    </xf>
    <xf numFmtId="10" fontId="3" fillId="2" borderId="15" xfId="4" applyNumberFormat="1" applyFont="1" applyFill="1" applyBorder="1" applyAlignment="1" applyProtection="1">
      <alignment vertical="center"/>
      <protection locked="0"/>
    </xf>
    <xf numFmtId="10" fontId="3" fillId="2" borderId="2" xfId="4" applyNumberFormat="1" applyFont="1" applyFill="1" applyBorder="1" applyAlignment="1" applyProtection="1">
      <alignment vertical="center"/>
      <protection locked="0"/>
    </xf>
    <xf numFmtId="0" fontId="4" fillId="3" borderId="0" xfId="0" applyFont="1" applyFill="1"/>
    <xf numFmtId="0" fontId="5" fillId="3" borderId="0" xfId="0" applyFont="1" applyFill="1"/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vertical="center"/>
    </xf>
    <xf numFmtId="0" fontId="3" fillId="0" borderId="13" xfId="0" applyFont="1" applyBorder="1"/>
    <xf numFmtId="10" fontId="3" fillId="0" borderId="1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10" fontId="3" fillId="0" borderId="15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10" fontId="3" fillId="0" borderId="8" xfId="0" applyNumberFormat="1" applyFont="1" applyBorder="1" applyAlignment="1">
      <alignment vertical="center"/>
    </xf>
    <xf numFmtId="10" fontId="3" fillId="0" borderId="2" xfId="0" applyNumberFormat="1" applyFont="1" applyBorder="1" applyAlignment="1">
      <alignment vertical="center"/>
    </xf>
    <xf numFmtId="10" fontId="3" fillId="0" borderId="2" xfId="0" applyNumberFormat="1" applyFont="1" applyBorder="1"/>
    <xf numFmtId="10" fontId="3" fillId="0" borderId="11" xfId="4" applyNumberFormat="1" applyFont="1" applyBorder="1"/>
    <xf numFmtId="10" fontId="3" fillId="0" borderId="1" xfId="4" applyNumberFormat="1" applyFont="1" applyBorder="1"/>
    <xf numFmtId="10" fontId="3" fillId="0" borderId="1" xfId="0" applyNumberFormat="1" applyFont="1" applyBorder="1"/>
    <xf numFmtId="0" fontId="7" fillId="0" borderId="9" xfId="0" applyFont="1" applyBorder="1" applyAlignment="1">
      <alignment vertical="center"/>
    </xf>
    <xf numFmtId="10" fontId="3" fillId="2" borderId="10" xfId="4" applyNumberFormat="1" applyFont="1" applyFill="1" applyBorder="1" applyAlignment="1" applyProtection="1">
      <protection locked="0"/>
    </xf>
    <xf numFmtId="10" fontId="3" fillId="2" borderId="11" xfId="4" applyNumberFormat="1" applyFont="1" applyFill="1" applyBorder="1" applyAlignment="1" applyProtection="1">
      <protection locked="0"/>
    </xf>
    <xf numFmtId="10" fontId="3" fillId="2" borderId="1" xfId="4" applyNumberFormat="1" applyFont="1" applyFill="1" applyBorder="1" applyAlignment="1" applyProtection="1">
      <protection locked="0"/>
    </xf>
    <xf numFmtId="10" fontId="3" fillId="0" borderId="14" xfId="0" applyNumberFormat="1" applyFont="1" applyBorder="1" applyAlignment="1">
      <alignment vertical="center"/>
    </xf>
    <xf numFmtId="10" fontId="3" fillId="0" borderId="7" xfId="0" applyNumberFormat="1" applyFont="1" applyBorder="1" applyAlignment="1">
      <alignment vertical="center"/>
    </xf>
    <xf numFmtId="10" fontId="3" fillId="0" borderId="9" xfId="0" applyNumberFormat="1" applyFont="1" applyBorder="1"/>
    <xf numFmtId="3" fontId="3" fillId="2" borderId="12" xfId="0" applyNumberFormat="1" applyFont="1" applyFill="1" applyBorder="1" applyAlignment="1" applyProtection="1">
      <alignment vertical="center"/>
      <protection locked="0"/>
    </xf>
    <xf numFmtId="165" fontId="3" fillId="2" borderId="12" xfId="0" applyNumberFormat="1" applyFont="1" applyFill="1" applyBorder="1" applyAlignment="1" applyProtection="1">
      <alignment vertical="center"/>
      <protection locked="0"/>
    </xf>
    <xf numFmtId="166" fontId="3" fillId="0" borderId="13" xfId="0" applyNumberFormat="1" applyFont="1" applyBorder="1" applyAlignment="1">
      <alignment vertical="center"/>
    </xf>
    <xf numFmtId="10" fontId="3" fillId="0" borderId="10" xfId="0" applyNumberFormat="1" applyFont="1" applyBorder="1"/>
    <xf numFmtId="166" fontId="3" fillId="0" borderId="7" xfId="0" applyNumberFormat="1" applyFont="1" applyBorder="1"/>
    <xf numFmtId="166" fontId="3" fillId="0" borderId="8" xfId="0" applyNumberFormat="1" applyFont="1" applyBorder="1"/>
    <xf numFmtId="166" fontId="3" fillId="0" borderId="2" xfId="0" applyNumberFormat="1" applyFont="1" applyBorder="1"/>
    <xf numFmtId="0" fontId="6" fillId="0" borderId="9" xfId="0" applyFont="1" applyBorder="1"/>
    <xf numFmtId="0" fontId="3" fillId="0" borderId="12" xfId="0" applyFont="1" applyBorder="1"/>
    <xf numFmtId="10" fontId="3" fillId="0" borderId="11" xfId="0" applyNumberFormat="1" applyFont="1" applyBorder="1"/>
    <xf numFmtId="3" fontId="3" fillId="0" borderId="0" xfId="0" applyNumberFormat="1" applyFont="1"/>
    <xf numFmtId="3" fontId="3" fillId="0" borderId="15" xfId="0" applyNumberFormat="1" applyFont="1" applyBorder="1"/>
    <xf numFmtId="3" fontId="3" fillId="0" borderId="11" xfId="0" applyNumberFormat="1" applyFont="1" applyBorder="1"/>
    <xf numFmtId="3" fontId="3" fillId="0" borderId="1" xfId="0" applyNumberFormat="1" applyFont="1" applyBorder="1"/>
    <xf numFmtId="0" fontId="3" fillId="4" borderId="4" xfId="0" applyFont="1" applyFill="1" applyBorder="1"/>
    <xf numFmtId="165" fontId="8" fillId="4" borderId="6" xfId="0" applyNumberFormat="1" applyFont="1" applyFill="1" applyBorder="1"/>
    <xf numFmtId="0" fontId="5" fillId="3" borderId="0" xfId="0" applyFont="1" applyFill="1" applyAlignment="1">
      <alignment wrapText="1"/>
    </xf>
    <xf numFmtId="0" fontId="9" fillId="0" borderId="0" xfId="0" applyFont="1"/>
    <xf numFmtId="0" fontId="7" fillId="4" borderId="13" xfId="0" applyFont="1" applyFill="1" applyBorder="1" applyAlignment="1">
      <alignment vertical="center"/>
    </xf>
    <xf numFmtId="10" fontId="3" fillId="4" borderId="8" xfId="0" applyNumberFormat="1" applyFont="1" applyFill="1" applyBorder="1" applyAlignment="1">
      <alignment vertical="center"/>
    </xf>
    <xf numFmtId="10" fontId="3" fillId="4" borderId="2" xfId="0" applyNumberFormat="1" applyFont="1" applyFill="1" applyBorder="1" applyAlignment="1">
      <alignment vertical="center"/>
    </xf>
    <xf numFmtId="0" fontId="7" fillId="0" borderId="9" xfId="0" applyFont="1" applyBorder="1"/>
    <xf numFmtId="0" fontId="7" fillId="0" borderId="13" xfId="0" applyFont="1" applyBorder="1"/>
    <xf numFmtId="165" fontId="3" fillId="4" borderId="8" xfId="0" applyNumberFormat="1" applyFont="1" applyFill="1" applyBorder="1" applyAlignment="1">
      <alignment vertical="center"/>
    </xf>
    <xf numFmtId="165" fontId="3" fillId="4" borderId="2" xfId="0" applyNumberFormat="1" applyFont="1" applyFill="1" applyBorder="1" applyAlignment="1">
      <alignment vertical="center"/>
    </xf>
    <xf numFmtId="0" fontId="8" fillId="4" borderId="6" xfId="0" applyFont="1" applyFill="1" applyBorder="1"/>
    <xf numFmtId="0" fontId="7" fillId="0" borderId="0" xfId="0" applyFont="1"/>
    <xf numFmtId="0" fontId="3" fillId="0" borderId="9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0" fillId="0" borderId="0" xfId="0" applyFont="1"/>
    <xf numFmtId="0" fontId="8" fillId="0" borderId="6" xfId="0" applyFont="1" applyBorder="1"/>
    <xf numFmtId="0" fontId="3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3" fillId="4" borderId="3" xfId="0" applyFont="1" applyFill="1" applyBorder="1"/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/>
    <xf numFmtId="0" fontId="3" fillId="0" borderId="9" xfId="0" applyFont="1" applyBorder="1"/>
    <xf numFmtId="3" fontId="3" fillId="0" borderId="9" xfId="0" applyNumberFormat="1" applyFont="1" applyBorder="1"/>
    <xf numFmtId="0" fontId="8" fillId="0" borderId="13" xfId="0" applyFont="1" applyBorder="1"/>
    <xf numFmtId="0" fontId="8" fillId="0" borderId="8" xfId="0" applyFont="1" applyBorder="1"/>
    <xf numFmtId="167" fontId="8" fillId="0" borderId="13" xfId="4" applyNumberFormat="1" applyFont="1" applyBorder="1"/>
    <xf numFmtId="10" fontId="3" fillId="2" borderId="13" xfId="0" applyNumberFormat="1" applyFont="1" applyFill="1" applyBorder="1" applyAlignment="1" applyProtection="1">
      <alignment vertical="center"/>
      <protection locked="0"/>
    </xf>
    <xf numFmtId="10" fontId="3" fillId="0" borderId="6" xfId="4" applyNumberFormat="1" applyFont="1" applyFill="1" applyBorder="1" applyProtection="1"/>
    <xf numFmtId="10" fontId="3" fillId="0" borderId="0" xfId="0" applyNumberFormat="1" applyFont="1"/>
    <xf numFmtId="168" fontId="3" fillId="2" borderId="8" xfId="4" applyNumberFormat="1" applyFont="1" applyFill="1" applyBorder="1" applyAlignment="1" applyProtection="1">
      <alignment vertical="center"/>
      <protection locked="0"/>
    </xf>
    <xf numFmtId="168" fontId="3" fillId="2" borderId="2" xfId="4" applyNumberFormat="1" applyFont="1" applyFill="1" applyBorder="1" applyAlignment="1" applyProtection="1">
      <alignment vertical="center"/>
      <protection locked="0"/>
    </xf>
    <xf numFmtId="168" fontId="3" fillId="0" borderId="0" xfId="0" applyNumberFormat="1" applyFont="1"/>
    <xf numFmtId="168" fontId="1" fillId="0" borderId="0" xfId="4" applyNumberFormat="1" applyFont="1"/>
    <xf numFmtId="168" fontId="3" fillId="0" borderId="0" xfId="4" applyNumberFormat="1" applyFont="1"/>
    <xf numFmtId="10" fontId="3" fillId="2" borderId="9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Alignment="1">
      <alignment horizontal="left" vertical="center"/>
    </xf>
    <xf numFmtId="0" fontId="11" fillId="3" borderId="0" xfId="0" applyFont="1" applyFill="1"/>
    <xf numFmtId="168" fontId="12" fillId="2" borderId="8" xfId="4" applyNumberFormat="1" applyFont="1" applyFill="1" applyBorder="1" applyAlignment="1" applyProtection="1">
      <alignment vertical="center"/>
      <protection locked="0"/>
    </xf>
    <xf numFmtId="168" fontId="12" fillId="2" borderId="5" xfId="4" applyNumberFormat="1" applyFont="1" applyFill="1" applyBorder="1" applyAlignment="1" applyProtection="1">
      <alignment vertical="center"/>
      <protection locked="0"/>
    </xf>
    <xf numFmtId="0" fontId="13" fillId="3" borderId="0" xfId="0" applyFont="1" applyFill="1"/>
    <xf numFmtId="0" fontId="3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</cellXfs>
  <cellStyles count="6">
    <cellStyle name="Comm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Percent" xfId="4" builtinId="5"/>
    <cellStyle name="Percent 2 2" xfId="5" xr:uid="{CB550136-EA53-411C-9BF9-033536BC712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Style="combo" dx="22" fmlaLink="S_ContractType" fmlaRange="L_ContractTypes" noThreeD="1" sel="1" val="0"/>
</file>

<file path=xl/ctrlProps/ctrlProp2.xml><?xml version="1.0" encoding="utf-8"?>
<formControlPr xmlns="http://schemas.microsoft.com/office/spreadsheetml/2009/9/main" objectType="Drop" dropStyle="combo" dx="22" fmlaLink="S_ContractType" fmlaRange="L_ContractTypes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3</xdr:col>
          <xdr:colOff>1441450</xdr:colOff>
          <xdr:row>3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996950</xdr:colOff>
          <xdr:row>2</xdr:row>
          <xdr:rowOff>0</xdr:rowOff>
        </xdr:from>
        <xdr:to>
          <xdr:col>1</xdr:col>
          <xdr:colOff>3162300</xdr:colOff>
          <xdr:row>2</xdr:row>
          <xdr:rowOff>228600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99"/>
  </sheetPr>
  <dimension ref="A1:M26"/>
  <sheetViews>
    <sheetView showGridLines="0" tabSelected="1" zoomScaleNormal="100" workbookViewId="0">
      <selection activeCell="I13" sqref="I13"/>
    </sheetView>
  </sheetViews>
  <sheetFormatPr defaultColWidth="9.08984375" defaultRowHeight="14.5" x14ac:dyDescent="0.35"/>
  <cols>
    <col min="1" max="1" width="1.453125" style="1" customWidth="1"/>
    <col min="2" max="2" width="35.90625" style="1" customWidth="1"/>
    <col min="3" max="7" width="12.453125" style="1" customWidth="1"/>
    <col min="8" max="8" width="2.54296875" style="4" customWidth="1"/>
    <col min="9" max="9" width="9.54296875" style="1" bestFit="1" customWidth="1"/>
    <col min="10" max="10" width="3.54296875" style="4" customWidth="1"/>
    <col min="11" max="11" width="50.54296875" style="1" customWidth="1"/>
    <col min="12" max="16384" width="9.08984375" style="1"/>
  </cols>
  <sheetData>
    <row r="1" spans="1:13" s="25" customFormat="1" ht="21" x14ac:dyDescent="0.5">
      <c r="A1" s="24" t="s">
        <v>0</v>
      </c>
      <c r="C1" s="103" t="s">
        <v>49</v>
      </c>
      <c r="H1" s="64"/>
      <c r="J1" s="64"/>
    </row>
    <row r="2" spans="1:13" x14ac:dyDescent="0.35">
      <c r="B2" s="99"/>
    </row>
    <row r="3" spans="1:13" x14ac:dyDescent="0.35">
      <c r="B3" s="74" t="s">
        <v>1</v>
      </c>
      <c r="C3" s="95"/>
    </row>
    <row r="4" spans="1:13" ht="5.15" customHeight="1" x14ac:dyDescent="0.35"/>
    <row r="5" spans="1:13" x14ac:dyDescent="0.35">
      <c r="C5" s="7" t="s">
        <v>2</v>
      </c>
      <c r="D5" s="8" t="s">
        <v>3</v>
      </c>
      <c r="E5" s="8" t="s">
        <v>4</v>
      </c>
      <c r="F5" s="8" t="s">
        <v>5</v>
      </c>
      <c r="G5" s="10" t="s">
        <v>6</v>
      </c>
      <c r="H5" s="1"/>
      <c r="I5" s="10" t="s">
        <v>7</v>
      </c>
      <c r="J5" s="1"/>
      <c r="K5" s="26"/>
      <c r="M5" s="96"/>
    </row>
    <row r="6" spans="1:13" s="5" customFormat="1" x14ac:dyDescent="0.25">
      <c r="B6" s="75" t="str">
        <f t="array" ref="B6:B7">L_ContractTypes</f>
        <v>RMW Access Letters Contract 2024</v>
      </c>
      <c r="C6" s="101">
        <v>0.37218400000000001</v>
      </c>
      <c r="D6" s="101">
        <v>0.30472199999999999</v>
      </c>
      <c r="E6" s="101">
        <v>0.178281</v>
      </c>
      <c r="F6" s="102">
        <v>0.144814</v>
      </c>
      <c r="G6" s="30">
        <f>SUM(C6:F6)</f>
        <v>1.0000010000000001</v>
      </c>
      <c r="I6" s="98">
        <v>3.5999999999999997E-2</v>
      </c>
      <c r="K6" s="104" t="s">
        <v>46</v>
      </c>
      <c r="M6" s="96"/>
    </row>
    <row r="7" spans="1:13" s="5" customFormat="1" x14ac:dyDescent="0.25">
      <c r="B7" s="76" t="str">
        <v>RMW Wholesale Parcels Contract 2024</v>
      </c>
      <c r="C7" s="93">
        <v>0.34395999999999999</v>
      </c>
      <c r="D7" s="93">
        <v>0.30926199999999998</v>
      </c>
      <c r="E7" s="93">
        <v>0.21156900000000001</v>
      </c>
      <c r="F7" s="94">
        <v>0.135209</v>
      </c>
      <c r="G7" s="36">
        <f>SUM(C7:F7)</f>
        <v>1</v>
      </c>
      <c r="I7" s="90">
        <v>3.5999999999999997E-2</v>
      </c>
      <c r="K7" s="104"/>
      <c r="M7" s="96"/>
    </row>
    <row r="8" spans="1:13" ht="24.9" customHeight="1" x14ac:dyDescent="0.35">
      <c r="C8" s="97"/>
      <c r="D8" s="97"/>
      <c r="E8" s="97"/>
      <c r="F8" s="97"/>
      <c r="H8" s="1"/>
      <c r="J8" s="1"/>
    </row>
    <row r="9" spans="1:13" x14ac:dyDescent="0.35">
      <c r="B9" s="65" t="s">
        <v>8</v>
      </c>
    </row>
    <row r="10" spans="1:13" ht="5.15" customHeight="1" x14ac:dyDescent="0.35"/>
    <row r="11" spans="1:13" x14ac:dyDescent="0.35">
      <c r="B11" s="65"/>
      <c r="C11" s="7" t="s">
        <v>2</v>
      </c>
      <c r="D11" s="8" t="s">
        <v>3</v>
      </c>
      <c r="E11" s="8" t="s">
        <v>4</v>
      </c>
      <c r="F11" s="9" t="s">
        <v>5</v>
      </c>
    </row>
    <row r="12" spans="1:13" s="5" customFormat="1" x14ac:dyDescent="0.25">
      <c r="B12" s="15" t="s">
        <v>9</v>
      </c>
      <c r="C12" s="16">
        <v>-5.7500000000000002E-2</v>
      </c>
      <c r="D12" s="17">
        <v>-5.0000000000000001E-3</v>
      </c>
      <c r="E12" s="17">
        <v>8.9399999999999993E-2</v>
      </c>
      <c r="F12" s="20">
        <v>4.58E-2</v>
      </c>
      <c r="K12" s="6" t="s">
        <v>47</v>
      </c>
    </row>
    <row r="13" spans="1:13" s="5" customFormat="1" x14ac:dyDescent="0.25">
      <c r="B13" s="18" t="s">
        <v>10</v>
      </c>
      <c r="C13" s="21">
        <v>-5.6800000000000003E-2</v>
      </c>
      <c r="D13" s="13">
        <v>-1.5299999999999999E-2</v>
      </c>
      <c r="E13" s="13">
        <v>9.0899999999999995E-2</v>
      </c>
      <c r="F13" s="22">
        <v>6.3600000000000004E-2</v>
      </c>
      <c r="K13" s="6"/>
    </row>
    <row r="14" spans="1:13" s="5" customFormat="1" x14ac:dyDescent="0.25">
      <c r="B14" s="18" t="s">
        <v>11</v>
      </c>
      <c r="C14" s="21">
        <v>-9.0499999999999997E-2</v>
      </c>
      <c r="D14" s="13">
        <v>-1.5599999999999999E-2</v>
      </c>
      <c r="E14" s="13">
        <v>0.20860000000000001</v>
      </c>
      <c r="F14" s="22">
        <v>-1.2E-2</v>
      </c>
      <c r="K14" s="6"/>
    </row>
    <row r="15" spans="1:13" s="5" customFormat="1" x14ac:dyDescent="0.25">
      <c r="B15" s="19"/>
      <c r="C15" s="11"/>
      <c r="D15" s="12"/>
      <c r="E15" s="12"/>
      <c r="F15" s="23"/>
      <c r="K15" s="6"/>
    </row>
    <row r="16" spans="1:13" ht="24.9" customHeight="1" x14ac:dyDescent="0.35">
      <c r="H16" s="1"/>
      <c r="J16" s="1"/>
      <c r="K16" s="4"/>
    </row>
    <row r="17" spans="2:11" x14ac:dyDescent="0.35">
      <c r="B17" s="74" t="s">
        <v>12</v>
      </c>
    </row>
    <row r="18" spans="2:11" ht="5.15" customHeight="1" x14ac:dyDescent="0.35"/>
    <row r="19" spans="2:11" x14ac:dyDescent="0.35">
      <c r="C19" s="7" t="s">
        <v>2</v>
      </c>
      <c r="D19" s="8" t="s">
        <v>3</v>
      </c>
      <c r="E19" s="8" t="s">
        <v>4</v>
      </c>
      <c r="F19" s="9" t="s">
        <v>5</v>
      </c>
      <c r="H19" s="1"/>
      <c r="J19" s="1"/>
      <c r="K19" s="4"/>
    </row>
    <row r="20" spans="2:11" s="5" customFormat="1" x14ac:dyDescent="0.25">
      <c r="B20" s="75" t="str">
        <f t="array" ref="B20:B21">L_ContractTypes</f>
        <v>RMW Access Letters Contract 2024</v>
      </c>
      <c r="C20" s="16">
        <v>-5.7410575484171993E-2</v>
      </c>
      <c r="D20" s="17">
        <v>-6.3158178757550679E-3</v>
      </c>
      <c r="E20" s="17">
        <v>8.9591623962488598E-2</v>
      </c>
      <c r="F20" s="20">
        <v>4.8073937688198079E-2</v>
      </c>
      <c r="K20" s="104" t="s">
        <v>13</v>
      </c>
    </row>
    <row r="21" spans="2:11" s="5" customFormat="1" x14ac:dyDescent="0.25">
      <c r="B21" s="76" t="str">
        <v>RMW Wholesale Parcels Contract 2024</v>
      </c>
      <c r="C21" s="11">
        <f>C14</f>
        <v>-9.0499999999999997E-2</v>
      </c>
      <c r="D21" s="12">
        <f t="shared" ref="D21:F21" si="0">D14</f>
        <v>-1.5599999999999999E-2</v>
      </c>
      <c r="E21" s="12">
        <f t="shared" si="0"/>
        <v>0.20860000000000001</v>
      </c>
      <c r="F21" s="23">
        <f t="shared" si="0"/>
        <v>-1.2E-2</v>
      </c>
      <c r="K21" s="104"/>
    </row>
    <row r="24" spans="2:11" x14ac:dyDescent="0.35">
      <c r="C24" s="92"/>
      <c r="D24" s="92"/>
      <c r="E24" s="92"/>
      <c r="F24" s="92"/>
    </row>
    <row r="25" spans="2:11" x14ac:dyDescent="0.35">
      <c r="C25" s="92"/>
      <c r="D25" s="92"/>
      <c r="E25" s="92"/>
      <c r="F25" s="92"/>
    </row>
    <row r="26" spans="2:11" x14ac:dyDescent="0.35">
      <c r="C26" s="92"/>
      <c r="D26" s="92"/>
      <c r="E26" s="92"/>
      <c r="F26" s="92"/>
    </row>
  </sheetData>
  <sheetProtection sheet="1" objects="1" scenarios="1"/>
  <mergeCells count="2">
    <mergeCell ref="K6:K7"/>
    <mergeCell ref="K20:K21"/>
  </mergeCells>
  <pageMargins left="0.75" right="0.75" top="1" bottom="1" header="0.5" footer="0.5"/>
  <pageSetup orientation="portrait" r:id="rId1"/>
  <headerFooter alignWithMargins="0">
    <oddFooter>&amp;L&amp;1#&amp;"Calibri"&amp;10&amp;K000000Classified: RMG – Internal</oddFooter>
  </headerFooter>
  <rowBreaks count="1" manualBreakCount="1">
    <brk id="10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K11"/>
  <sheetViews>
    <sheetView showGridLines="0" workbookViewId="0">
      <selection activeCell="G13" sqref="G13"/>
    </sheetView>
  </sheetViews>
  <sheetFormatPr defaultColWidth="9.08984375" defaultRowHeight="14.5" x14ac:dyDescent="0.35"/>
  <cols>
    <col min="1" max="1" width="1.453125" style="1" customWidth="1"/>
    <col min="2" max="2" width="15" style="1" customWidth="1"/>
    <col min="3" max="3" width="10.54296875" style="1" customWidth="1"/>
    <col min="4" max="4" width="23" style="1" customWidth="1"/>
    <col min="5" max="9" width="12.453125" style="1" customWidth="1"/>
    <col min="10" max="10" width="3.54296875" style="1" customWidth="1"/>
    <col min="11" max="11" width="54.54296875" style="1" bestFit="1" customWidth="1"/>
    <col min="12" max="16384" width="9.08984375" style="1"/>
  </cols>
  <sheetData>
    <row r="1" spans="1:11" s="25" customFormat="1" ht="21" x14ac:dyDescent="0.5">
      <c r="A1" s="24" t="s">
        <v>14</v>
      </c>
      <c r="G1" s="100" t="str">
        <f>Inputs!C1</f>
        <v>Published on 01 July 2024</v>
      </c>
    </row>
    <row r="3" spans="1:11" s="5" customFormat="1" ht="18.75" customHeight="1" x14ac:dyDescent="0.25">
      <c r="B3" s="5" t="s">
        <v>15</v>
      </c>
    </row>
    <row r="4" spans="1:11" x14ac:dyDescent="0.35">
      <c r="B4" s="1" t="s">
        <v>7</v>
      </c>
      <c r="C4" s="91">
        <f ca="1">OFFSET(St_Threshold,S_ContractType,0)</f>
        <v>3.5999999999999997E-2</v>
      </c>
      <c r="D4" s="5"/>
      <c r="K4" s="1" t="s">
        <v>48</v>
      </c>
    </row>
    <row r="5" spans="1:11" s="5" customFormat="1" x14ac:dyDescent="0.25"/>
    <row r="6" spans="1:11" s="5" customFormat="1" x14ac:dyDescent="0.35">
      <c r="E6" s="7" t="s">
        <v>2</v>
      </c>
      <c r="F6" s="8" t="s">
        <v>3</v>
      </c>
      <c r="G6" s="8" t="s">
        <v>4</v>
      </c>
      <c r="H6" s="8" t="s">
        <v>5</v>
      </c>
      <c r="I6" s="10" t="s">
        <v>6</v>
      </c>
    </row>
    <row r="7" spans="1:11" s="5" customFormat="1" x14ac:dyDescent="0.25">
      <c r="B7" s="105" t="s">
        <v>1</v>
      </c>
      <c r="C7" s="106"/>
      <c r="D7" s="107"/>
      <c r="E7" s="29">
        <f ca="1">OFFSET(St_ZPP,S_ContractType,1)</f>
        <v>0.37218400000000001</v>
      </c>
      <c r="F7" s="29">
        <f ca="1">OFFSET(St_ZPP,S_ContractType,2)</f>
        <v>0.30472199999999999</v>
      </c>
      <c r="G7" s="29">
        <f ca="1">OFFSET(St_ZPP,S_ContractType,3)</f>
        <v>0.178281</v>
      </c>
      <c r="H7" s="30">
        <f ca="1">OFFSET(St_ZPP,S_ContractType,4)</f>
        <v>0.144814</v>
      </c>
      <c r="I7" s="30">
        <f ca="1">SUM(E7:H7)</f>
        <v>1.0000010000000001</v>
      </c>
    </row>
    <row r="8" spans="1:11" s="5" customFormat="1" x14ac:dyDescent="0.25">
      <c r="B8" s="108" t="s">
        <v>12</v>
      </c>
      <c r="C8" s="109"/>
      <c r="D8" s="110"/>
      <c r="E8" s="14">
        <f ca="1">OFFSET(St_WAPVP,S_ContractType,1)</f>
        <v>-5.7410575484171993E-2</v>
      </c>
      <c r="F8" s="14">
        <f ca="1">OFFSET(St_WAPVP,S_ContractType,2)</f>
        <v>-6.3158178757550679E-3</v>
      </c>
      <c r="G8" s="14">
        <f ca="1">OFFSET(St_WAPVP,S_ContractType,3)</f>
        <v>8.9591623962488598E-2</v>
      </c>
      <c r="H8" s="31">
        <f ca="1">OFFSET(St_WAPVP,S_ContractType,4)</f>
        <v>4.8073937688198079E-2</v>
      </c>
      <c r="I8" s="34"/>
    </row>
    <row r="9" spans="1:11" x14ac:dyDescent="0.35">
      <c r="B9" s="111" t="s">
        <v>16</v>
      </c>
      <c r="C9" s="112"/>
      <c r="D9" s="113"/>
      <c r="E9" s="32" t="str">
        <f ca="1">IF(E8&lt;0,"No","Yes")</f>
        <v>No</v>
      </c>
      <c r="F9" s="32" t="str">
        <f ca="1">IF(F8&lt;0,"No","Yes")</f>
        <v>No</v>
      </c>
      <c r="G9" s="32" t="str">
        <f ca="1">IF(G8&lt;0,"No","Yes")</f>
        <v>Yes</v>
      </c>
      <c r="H9" s="33" t="str">
        <f ca="1">IF(H8&lt;0,"No","Yes")</f>
        <v>Yes</v>
      </c>
      <c r="I9" s="3"/>
      <c r="K9" s="1" t="s">
        <v>17</v>
      </c>
    </row>
    <row r="10" spans="1:11" x14ac:dyDescent="0.35">
      <c r="B10" s="114" t="s">
        <v>18</v>
      </c>
      <c r="C10" s="115"/>
      <c r="D10" s="116"/>
      <c r="E10" s="35">
        <f ca="1">IF(E9="No",E7,E7*(1+Threshold))</f>
        <v>0.37218400000000001</v>
      </c>
      <c r="F10" s="35">
        <f ca="1">IF(F9="No",F7,F7*(1+Threshold))</f>
        <v>0.30472199999999999</v>
      </c>
      <c r="G10" s="35">
        <f ca="1">IF(G9="No",G7,G7*(1+Threshold))</f>
        <v>0.184699116</v>
      </c>
      <c r="H10" s="36">
        <f ca="1">IF(H9="No",H7,H7*(1+Threshold))</f>
        <v>0.150027304</v>
      </c>
      <c r="I10" s="37">
        <f ca="1">SUM(E10:H10)</f>
        <v>1.01163242</v>
      </c>
    </row>
    <row r="11" spans="1:11" s="5" customFormat="1" ht="29" x14ac:dyDescent="0.25">
      <c r="B11" s="117" t="s">
        <v>19</v>
      </c>
      <c r="C11" s="118"/>
      <c r="D11" s="119"/>
      <c r="E11" s="67">
        <f ca="1">IF(E9="No",(E10+E10/SUMIF($E$9:$H$9,"No",$E$10:$H$10)*(1-$I$10)),E10)</f>
        <v>0.365788133210106</v>
      </c>
      <c r="F11" s="67">
        <f ca="1">IF(F9="No",(F10+F10/SUMIF($E$9:$H$9,"No",$E$10:$H$10)*(1-$I$10)),F10)</f>
        <v>0.29948544678989403</v>
      </c>
      <c r="G11" s="67">
        <f ca="1">IF(G9="No",(G10+G10/SUMIF($E$9:$H$9,"No",$E$10:$H$10)*(1-$I$10)),G10)</f>
        <v>0.184699116</v>
      </c>
      <c r="H11" s="68">
        <f ca="1">IF(H9="No",(H10+H10/SUMIF($E$9:$H$9,"No",$E$10:$H$10)*(1-$I$10)),H10)</f>
        <v>0.150027304</v>
      </c>
      <c r="I11" s="68">
        <f ca="1">SUM(E11:H11)</f>
        <v>1</v>
      </c>
      <c r="K11" s="6" t="s">
        <v>20</v>
      </c>
    </row>
  </sheetData>
  <sheetProtection sheet="1" objects="1" scenarios="1"/>
  <mergeCells count="5">
    <mergeCell ref="B7:D7"/>
    <mergeCell ref="B8:D8"/>
    <mergeCell ref="B9:D9"/>
    <mergeCell ref="B10:D10"/>
    <mergeCell ref="B11:D11"/>
  </mergeCells>
  <conditionalFormatting sqref="E9:H9">
    <cfRule type="cellIs" dxfId="0" priority="1" stopIfTrue="1" operator="equal">
      <formula>"Yes"</formula>
    </cfRule>
  </conditionalFormatting>
  <pageMargins left="0.75" right="0.75" top="1" bottom="1" header="0.5" footer="0.5"/>
  <pageSetup orientation="portrait" r:id="rId1"/>
  <headerFooter alignWithMargins="0">
    <oddFooter>&amp;L&amp;1#&amp;"Calibri"&amp;10&amp;K000000Classified: RMG – Internal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3</xdr:col>
                    <xdr:colOff>1441450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</sheetPr>
  <dimension ref="A1:I19"/>
  <sheetViews>
    <sheetView showGridLines="0" workbookViewId="0">
      <selection activeCell="C3" sqref="C3"/>
    </sheetView>
  </sheetViews>
  <sheetFormatPr defaultColWidth="9.08984375" defaultRowHeight="14.5" x14ac:dyDescent="0.35"/>
  <cols>
    <col min="1" max="1" width="1.453125" style="1" customWidth="1"/>
    <col min="2" max="2" width="50.08984375" style="1" bestFit="1" customWidth="1"/>
    <col min="3" max="6" width="12.453125" style="1" customWidth="1"/>
    <col min="7" max="7" width="12.54296875" style="1" customWidth="1"/>
    <col min="8" max="8" width="3.54296875" style="1" customWidth="1"/>
    <col min="9" max="9" width="57.54296875" style="1" customWidth="1"/>
    <col min="10" max="16384" width="9.08984375" style="1"/>
  </cols>
  <sheetData>
    <row r="1" spans="1:9" s="25" customFormat="1" ht="21" x14ac:dyDescent="0.5">
      <c r="A1" s="24" t="s">
        <v>21</v>
      </c>
      <c r="C1" s="100" t="str">
        <f>Inputs!C1</f>
        <v>Published on 01 July 2024</v>
      </c>
    </row>
    <row r="3" spans="1:9" s="5" customFormat="1" ht="18.75" customHeight="1" x14ac:dyDescent="0.25">
      <c r="B3" s="5" t="s">
        <v>15</v>
      </c>
    </row>
    <row r="4" spans="1:9" s="5" customFormat="1" x14ac:dyDescent="0.35">
      <c r="C4" s="7" t="s">
        <v>2</v>
      </c>
      <c r="D4" s="8" t="s">
        <v>3</v>
      </c>
      <c r="E4" s="8" t="s">
        <v>4</v>
      </c>
      <c r="F4" s="8" t="s">
        <v>5</v>
      </c>
      <c r="G4" s="10" t="s">
        <v>6</v>
      </c>
    </row>
    <row r="5" spans="1:9" s="5" customFormat="1" x14ac:dyDescent="0.35">
      <c r="B5" s="41" t="s">
        <v>22</v>
      </c>
      <c r="C5" s="42">
        <v>0.4</v>
      </c>
      <c r="D5" s="43">
        <v>0.3</v>
      </c>
      <c r="E5" s="43">
        <v>0.2</v>
      </c>
      <c r="F5" s="44">
        <v>0.1</v>
      </c>
      <c r="G5" s="47">
        <f>SUM(C5:F5)</f>
        <v>0.99999999999999989</v>
      </c>
      <c r="I5" s="5" t="s">
        <v>23</v>
      </c>
    </row>
    <row r="6" spans="1:9" s="5" customFormat="1" x14ac:dyDescent="0.25">
      <c r="B6" s="18" t="s">
        <v>24</v>
      </c>
      <c r="C6" s="45"/>
      <c r="D6" s="14"/>
      <c r="E6" s="14"/>
      <c r="F6" s="31"/>
      <c r="G6" s="48">
        <v>10000000</v>
      </c>
      <c r="I6" s="5" t="s">
        <v>25</v>
      </c>
    </row>
    <row r="7" spans="1:9" s="5" customFormat="1" x14ac:dyDescent="0.25">
      <c r="B7" s="18" t="s">
        <v>26</v>
      </c>
      <c r="C7" s="45"/>
      <c r="D7" s="14"/>
      <c r="E7" s="14"/>
      <c r="F7" s="31"/>
      <c r="G7" s="49">
        <v>2000000</v>
      </c>
      <c r="I7" s="5" t="s">
        <v>27</v>
      </c>
    </row>
    <row r="8" spans="1:9" s="5" customFormat="1" x14ac:dyDescent="0.25">
      <c r="B8" s="19" t="s">
        <v>28</v>
      </c>
      <c r="C8" s="46"/>
      <c r="D8" s="35"/>
      <c r="E8" s="35"/>
      <c r="F8" s="36"/>
      <c r="G8" s="50">
        <f>G7/G6*100</f>
        <v>20</v>
      </c>
    </row>
    <row r="9" spans="1:9" x14ac:dyDescent="0.35">
      <c r="B9" s="27" t="s">
        <v>12</v>
      </c>
      <c r="C9" s="51">
        <f ca="1">'Adjusted RM Posting Profile'!E8</f>
        <v>-5.7410575484171993E-2</v>
      </c>
      <c r="D9" s="38">
        <f ca="1">'Adjusted RM Posting Profile'!F8</f>
        <v>-6.3158178757550679E-3</v>
      </c>
      <c r="E9" s="38">
        <f ca="1">'Adjusted RM Posting Profile'!G8</f>
        <v>8.9591623962488598E-2</v>
      </c>
      <c r="F9" s="39">
        <f ca="1">'Adjusted RM Posting Profile'!H8</f>
        <v>4.8073937688198079E-2</v>
      </c>
      <c r="G9" s="2"/>
      <c r="I9" s="1" t="str">
        <f ca="1">OFFSET(St_ContractTypes,S_ContractType,1)</f>
        <v>Weighted average for letters and large letters formats</v>
      </c>
    </row>
    <row r="10" spans="1:9" x14ac:dyDescent="0.35">
      <c r="B10" s="70" t="s">
        <v>29</v>
      </c>
      <c r="C10" s="52">
        <f ca="1">ROUND($G$8*(1+C9),2)</f>
        <v>18.850000000000001</v>
      </c>
      <c r="D10" s="53">
        <f ca="1">ROUND($G$8*(1+D9),2)</f>
        <v>19.87</v>
      </c>
      <c r="E10" s="53">
        <f ca="1">ROUND($G$8*(1+E9),2)</f>
        <v>21.79</v>
      </c>
      <c r="F10" s="54">
        <f ca="1">ROUND($G$8*(1+F9),2)</f>
        <v>20.96</v>
      </c>
      <c r="G10" s="3"/>
    </row>
    <row r="11" spans="1:9" x14ac:dyDescent="0.35">
      <c r="B11" s="55" t="s">
        <v>19</v>
      </c>
      <c r="C11" s="57">
        <f ca="1">'Adjusted RM Posting Profile'!E11</f>
        <v>0.365788133210106</v>
      </c>
      <c r="D11" s="57">
        <f ca="1">'Adjusted RM Posting Profile'!F11</f>
        <v>0.29948544678989403</v>
      </c>
      <c r="E11" s="57">
        <f ca="1">'Adjusted RM Posting Profile'!G11</f>
        <v>0.184699116</v>
      </c>
      <c r="F11" s="40">
        <f ca="1">'Adjusted RM Posting Profile'!H11</f>
        <v>0.150027304</v>
      </c>
      <c r="G11" s="40">
        <f ca="1">SUM(C11:F11)</f>
        <v>1</v>
      </c>
    </row>
    <row r="12" spans="1:9" x14ac:dyDescent="0.35">
      <c r="B12" s="56" t="s">
        <v>30</v>
      </c>
      <c r="C12" s="58">
        <f ca="1">C11*$G$6</f>
        <v>3657881.3321010601</v>
      </c>
      <c r="D12" s="58">
        <f ca="1">D11*$G$6</f>
        <v>2994854.4678989402</v>
      </c>
      <c r="E12" s="58">
        <f ca="1">E11*$G$6</f>
        <v>1846991.16</v>
      </c>
      <c r="F12" s="59">
        <f ca="1">F11*$G$6</f>
        <v>1500273.04</v>
      </c>
      <c r="G12" s="59">
        <f ca="1">SUM(C12:F12)</f>
        <v>10000000</v>
      </c>
    </row>
    <row r="13" spans="1:9" s="5" customFormat="1" ht="45" customHeight="1" x14ac:dyDescent="0.25">
      <c r="B13" s="66" t="s">
        <v>31</v>
      </c>
      <c r="C13" s="71">
        <f ca="1">C12*C10/100</f>
        <v>689510.63110104995</v>
      </c>
      <c r="D13" s="71">
        <f ca="1">D12*D10/100</f>
        <v>595077.58277151943</v>
      </c>
      <c r="E13" s="71">
        <f ca="1">E12*E10/100</f>
        <v>402459.37376399996</v>
      </c>
      <c r="F13" s="72">
        <f ca="1">F12*F10/100</f>
        <v>314457.229184</v>
      </c>
      <c r="G13" s="72">
        <f ca="1">SUM(C13:F13)</f>
        <v>2001504.8168205693</v>
      </c>
      <c r="I13" s="6" t="s">
        <v>32</v>
      </c>
    </row>
    <row r="14" spans="1:9" x14ac:dyDescent="0.35">
      <c r="B14" s="69" t="s">
        <v>33</v>
      </c>
      <c r="C14" s="60">
        <f>C5*$G$6</f>
        <v>4000000</v>
      </c>
      <c r="D14" s="60">
        <f>D5*$G$6</f>
        <v>3000000</v>
      </c>
      <c r="E14" s="60">
        <f>E5*$G$6</f>
        <v>2000000</v>
      </c>
      <c r="F14" s="61">
        <f>F5*$G$6</f>
        <v>1000000</v>
      </c>
      <c r="G14" s="61">
        <f>SUM(C14:F14)</f>
        <v>10000000</v>
      </c>
    </row>
    <row r="15" spans="1:9" s="5" customFormat="1" ht="45" customHeight="1" x14ac:dyDescent="0.25">
      <c r="B15" s="66" t="s">
        <v>34</v>
      </c>
      <c r="C15" s="71">
        <f ca="1">C14*C10/100</f>
        <v>754000</v>
      </c>
      <c r="D15" s="71">
        <f ca="1">D14*D10/100</f>
        <v>596100</v>
      </c>
      <c r="E15" s="71">
        <f ca="1">E14*E10/100</f>
        <v>435800</v>
      </c>
      <c r="F15" s="72">
        <f ca="1">F14*F10/100</f>
        <v>209600</v>
      </c>
      <c r="G15" s="72">
        <f ca="1">SUM(C15:F15)</f>
        <v>1995500</v>
      </c>
      <c r="I15" s="6" t="s">
        <v>35</v>
      </c>
    </row>
    <row r="16" spans="1:9" x14ac:dyDescent="0.35">
      <c r="B16" s="73" t="s">
        <v>36</v>
      </c>
      <c r="C16" s="62"/>
      <c r="D16" s="62"/>
      <c r="E16" s="62"/>
      <c r="F16" s="62"/>
      <c r="G16" s="63">
        <f ca="1">IF(G15&lt;=G13,0,G15-G13)</f>
        <v>0</v>
      </c>
    </row>
    <row r="17" spans="2:7" ht="24.9" customHeight="1" x14ac:dyDescent="0.35"/>
    <row r="18" spans="2:7" x14ac:dyDescent="0.35">
      <c r="B18" s="85" t="s">
        <v>37</v>
      </c>
      <c r="C18" s="60">
        <f ca="1">IF(C9&lt;0,0,IF(AND($G$16&gt;0,C14&gt;C12),C14-C12,0))</f>
        <v>0</v>
      </c>
      <c r="D18" s="60">
        <f ca="1">IF(D9&lt;0,0,IF(AND($G$16&gt;0,D14&gt;D12),D14-D12,0))</f>
        <v>0</v>
      </c>
      <c r="E18" s="60">
        <f ca="1">IF(E9&lt;0,0,IF(AND($G$16&gt;0,E14&gt;E12),E14-E12,0))</f>
        <v>0</v>
      </c>
      <c r="F18" s="60">
        <f ca="1">IF(F9&lt;0,0,IF(AND($G$16&gt;0,F14&gt;F12),F14-F12,0))</f>
        <v>0</v>
      </c>
      <c r="G18" s="86">
        <f ca="1">SUM(C18:F18)</f>
        <v>0</v>
      </c>
    </row>
    <row r="19" spans="2:7" x14ac:dyDescent="0.35">
      <c r="B19" s="87" t="s">
        <v>38</v>
      </c>
      <c r="C19" s="88"/>
      <c r="D19" s="88"/>
      <c r="E19" s="88"/>
      <c r="F19" s="88"/>
      <c r="G19" s="89">
        <f ca="1">G18/G6</f>
        <v>0</v>
      </c>
    </row>
  </sheetData>
  <pageMargins left="0.75" right="0.75" top="1" bottom="1" header="0.5" footer="0.5"/>
  <pageSetup orientation="portrait" r:id="rId1"/>
  <headerFooter alignWithMargins="0">
    <oddFooter>&amp;L&amp;1#&amp;"Calibri"&amp;10&amp;K000000Classified: RMG – Internal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Drop Down 2">
              <controlPr defaultSize="0" autoLine="0" autoPict="0">
                <anchor moveWithCells="1">
                  <from>
                    <xdr:col>1</xdr:col>
                    <xdr:colOff>996950</xdr:colOff>
                    <xdr:row>2</xdr:row>
                    <xdr:rowOff>0</xdr:rowOff>
                  </from>
                  <to>
                    <xdr:col>1</xdr:col>
                    <xdr:colOff>3162300</xdr:colOff>
                    <xdr:row>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99"/>
  </sheetPr>
  <dimension ref="A1:G5"/>
  <sheetViews>
    <sheetView showGridLines="0" workbookViewId="0">
      <pane ySplit="3" topLeftCell="A4" activePane="bottomLeft" state="frozen"/>
      <selection pane="bottomLeft" activeCell="C14" sqref="C14"/>
    </sheetView>
  </sheetViews>
  <sheetFormatPr defaultColWidth="9.08984375" defaultRowHeight="13" x14ac:dyDescent="0.3"/>
  <cols>
    <col min="1" max="1" width="1.453125" style="77" customWidth="1"/>
    <col min="2" max="2" width="35.453125" style="77" bestFit="1" customWidth="1"/>
    <col min="3" max="3" width="49.90625" style="77" bestFit="1" customWidth="1"/>
    <col min="4" max="4" width="5.54296875" style="77" customWidth="1"/>
    <col min="5" max="5" width="21" style="77" bestFit="1" customWidth="1"/>
    <col min="6" max="6" width="9.08984375" style="77"/>
    <col min="7" max="7" width="31.54296875" style="77" bestFit="1" customWidth="1"/>
    <col min="8" max="16384" width="9.08984375" style="77"/>
  </cols>
  <sheetData>
    <row r="1" spans="1:7" s="25" customFormat="1" ht="21" x14ac:dyDescent="0.5">
      <c r="A1" s="24" t="s">
        <v>39</v>
      </c>
    </row>
    <row r="3" spans="1:7" ht="14.5" x14ac:dyDescent="0.35">
      <c r="B3" s="78" t="s">
        <v>40</v>
      </c>
      <c r="C3" s="78" t="s">
        <v>41</v>
      </c>
      <c r="E3" s="79" t="s">
        <v>42</v>
      </c>
      <c r="F3" s="80"/>
      <c r="G3" s="81"/>
    </row>
    <row r="4" spans="1:7" ht="14.5" x14ac:dyDescent="0.35">
      <c r="B4" s="56" t="s">
        <v>50</v>
      </c>
      <c r="C4" s="56" t="s">
        <v>43</v>
      </c>
      <c r="E4" s="82" t="s">
        <v>44</v>
      </c>
      <c r="F4" s="83">
        <v>1</v>
      </c>
      <c r="G4" s="84" t="str">
        <f ca="1">OFFSET(St_ContractTypes,S_ContractType,0)</f>
        <v>RMW Access Letters Contract 2024</v>
      </c>
    </row>
    <row r="5" spans="1:7" ht="14.5" x14ac:dyDescent="0.35">
      <c r="B5" s="28" t="s">
        <v>51</v>
      </c>
      <c r="C5" s="28" t="s">
        <v>45</v>
      </c>
    </row>
  </sheetData>
  <pageMargins left="0.7" right="0.7" top="0.75" bottom="0.75" header="0.3" footer="0.3"/>
  <pageSetup paperSize="9" orientation="portrait" horizontalDpi="4294967293" verticalDpi="0" r:id="rId1"/>
  <headerFooter>
    <oddFooter>&amp;L&amp;1#&amp;"Calibri"&amp;10&amp;K000000Classified: RMG –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BC21BE2FB554E8C7BA60406DC021D" ma:contentTypeVersion="10" ma:contentTypeDescription="Create a new document." ma:contentTypeScope="" ma:versionID="937c2fce0dd8317d6e8ae5c89094818e">
  <xsd:schema xmlns:xsd="http://www.w3.org/2001/XMLSchema" xmlns:xs="http://www.w3.org/2001/XMLSchema" xmlns:p="http://schemas.microsoft.com/office/2006/metadata/properties" xmlns:ns2="fcb9b7c9-7c1b-47aa-b0c0-298b6e69adfc" xmlns:ns3="c6a4b7fa-877d-4597-b002-57ce20afce07" targetNamespace="http://schemas.microsoft.com/office/2006/metadata/properties" ma:root="true" ma:fieldsID="4b72ae7d476acb912b50fa8bcccae50b" ns2:_="" ns3:_="">
    <xsd:import namespace="fcb9b7c9-7c1b-47aa-b0c0-298b6e69adfc"/>
    <xsd:import namespace="c6a4b7fa-877d-4597-b002-57ce20afc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9b7c9-7c1b-47aa-b0c0-298b6e69a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4b7fa-877d-4597-b002-57ce20afc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EA54E7-AB46-43BC-9DA6-8920C9C4E3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9b7c9-7c1b-47aa-b0c0-298b6e69adfc"/>
    <ds:schemaRef ds:uri="c6a4b7fa-877d-4597-b002-57ce20afc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E8F912-D37B-4250-B0C8-209898F22C5C}">
  <ds:schemaRefs>
    <ds:schemaRef ds:uri="c6a4b7fa-877d-4597-b002-57ce20afce07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cb9b7c9-7c1b-47aa-b0c0-298b6e69adf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85A563F-A069-4419-B31D-4B824B9C02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Inputs</vt:lpstr>
      <vt:lpstr>Adjusted RM Posting Profile</vt:lpstr>
      <vt:lpstr>NGPP Adjustment Calculator</vt:lpstr>
      <vt:lpstr>Lookups</vt:lpstr>
      <vt:lpstr>L_ContractTypes</vt:lpstr>
      <vt:lpstr>S_ContractType</vt:lpstr>
      <vt:lpstr>St_ContractTypes</vt:lpstr>
      <vt:lpstr>St_Threshold</vt:lpstr>
      <vt:lpstr>St_WAPVP</vt:lpstr>
      <vt:lpstr>St_ZPP</vt:lpstr>
      <vt:lpstr>Threshold</vt:lpstr>
    </vt:vector>
  </TitlesOfParts>
  <Manager/>
  <Company>Consignia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McMurdie</dc:creator>
  <cp:keywords/>
  <dc:description/>
  <cp:lastModifiedBy>Chloe Spurgeon</cp:lastModifiedBy>
  <cp:revision/>
  <dcterms:created xsi:type="dcterms:W3CDTF">2004-01-13T10:31:23Z</dcterms:created>
  <dcterms:modified xsi:type="dcterms:W3CDTF">2024-08-14T08:46:43Z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0x0101007FABC21BE2FB554E8C7BA60406DC021D</vt:lpwstr>
  </property>
  <property fmtid="{D5CDD505-2E9C-101B-9397-08002B2CF9AE}" pid="3" name="MSIP_Label_980f36f3-41a5-4f45-a6a2-e224f336accd_Enabled">
    <vt:lpwstr>true</vt:lpwstr>
  </property>
  <property fmtid="{D5CDD505-2E9C-101B-9397-08002B2CF9AE}" pid="4" name="MSIP_Label_980f36f3-41a5-4f45-a6a2-e224f336accd_SetDate">
    <vt:lpwstr>2023-10-24T14:11:11Z</vt:lpwstr>
  </property>
  <property fmtid="{D5CDD505-2E9C-101B-9397-08002B2CF9AE}" pid="5" name="MSIP_Label_980f36f3-41a5-4f45-a6a2-e224f336accd_Method">
    <vt:lpwstr>Standard</vt:lpwstr>
  </property>
  <property fmtid="{D5CDD505-2E9C-101B-9397-08002B2CF9AE}" pid="6" name="MSIP_Label_980f36f3-41a5-4f45-a6a2-e224f336accd_Name">
    <vt:lpwstr>980f36f3-41a5-4f45-a6a2-e224f336accd</vt:lpwstr>
  </property>
  <property fmtid="{D5CDD505-2E9C-101B-9397-08002B2CF9AE}" pid="7" name="MSIP_Label_980f36f3-41a5-4f45-a6a2-e224f336accd_SiteId">
    <vt:lpwstr>7a082108-90dd-41ac-be41-9b8feabee2da</vt:lpwstr>
  </property>
  <property fmtid="{D5CDD505-2E9C-101B-9397-08002B2CF9AE}" pid="8" name="MSIP_Label_980f36f3-41a5-4f45-a6a2-e224f336accd_ActionId">
    <vt:lpwstr>ba6098a7-2af7-48d2-9a33-981995d48e39</vt:lpwstr>
  </property>
  <property fmtid="{D5CDD505-2E9C-101B-9397-08002B2CF9AE}" pid="9" name="MSIP_Label_980f36f3-41a5-4f45-a6a2-e224f336accd_ContentBits">
    <vt:lpwstr>2</vt:lpwstr>
  </property>
</Properties>
</file>